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docs.live.net/7109364121d5029a/Documents/Beauvais/Site/"/>
    </mc:Choice>
  </mc:AlternateContent>
  <xr:revisionPtr revIDLastSave="0" documentId="8_{DA8527EB-BB94-4C84-8E5F-1012555E1754}" xr6:coauthVersionLast="47" xr6:coauthVersionMax="47" xr10:uidLastSave="{00000000-0000-0000-0000-000000000000}"/>
  <bookViews>
    <workbookView xWindow="-120" yWindow="-120" windowWidth="24240" windowHeight="13020" tabRatio="665" activeTab="2" xr2:uid="{00000000-000D-0000-FFFF-FFFF00000000}"/>
  </bookViews>
  <sheets>
    <sheet name="Tirage" sheetId="1" r:id="rId1"/>
    <sheet name="Match" sheetId="2" r:id="rId2"/>
    <sheet name="Classement impression" sheetId="3" r:id="rId3"/>
    <sheet name="Feuille de résultat" sheetId="5" r:id="rId4"/>
    <sheet name="Engagement tour suivant" sheetId="6" r:id="rId5"/>
    <sheet name="Joueurs" sheetId="4" r:id="rId6"/>
  </sheets>
  <externalReferences>
    <externalReference r:id="rId7"/>
    <externalReference r:id="rId8"/>
  </externalReferences>
  <definedNames>
    <definedName name="_xlnm._FilterDatabase" localSheetId="5" hidden="1">Joueurs!$A$4:$T$356</definedName>
    <definedName name="Categories">Tirage!$Q$32:$Q$48</definedName>
    <definedName name="class_6joueurs">'[1]Feuille de match'!$CB$168:$CK$173</definedName>
    <definedName name="Class_finale">Match!$FQ$4:$FU$21</definedName>
    <definedName name="Class_general_tous">'[1]Feuille de match'!$BY$148:$CL$173</definedName>
    <definedName name="Classement_intermediaire">'[1]Feuille de match'!$AO$151:$AZ$156</definedName>
    <definedName name="Classementfinal">Match!$EL$27:$EY$34</definedName>
    <definedName name="demifinale">Match!$M$14:$V$18</definedName>
    <definedName name="Finale">Match!$L$23:$U$32</definedName>
    <definedName name="joueurs">Tirage!$A$6:$C$24</definedName>
    <definedName name="Lieu">Tirage!$Q$7:$Q$18</definedName>
    <definedName name="m">'[1]Feuille de match'!$BV$84:$BV$97</definedName>
    <definedName name="match1">'[1]Feuille de match'!$AO$84:$AY$87</definedName>
    <definedName name="match10">'[1]Feuille de match'!$AO$125:$AX$126</definedName>
    <definedName name="Match2">'[1]Feuille de match'!$AO$90:$AY$94</definedName>
    <definedName name="match3">'[1]Feuille de match'!$AO$96:$AX$97</definedName>
    <definedName name="match4">'[1]Feuille de match'!$AO$100:$AX$101</definedName>
    <definedName name="match5">'[1]Feuille de match'!$AO$105:$AX$106</definedName>
    <definedName name="match6">'[1]Feuille de match'!$AO$109:$AX$110</definedName>
    <definedName name="match7">'[1]Feuille de match'!$AO$113:$AX$114</definedName>
    <definedName name="match8">'[1]Feuille de match'!$AO$117:$AX$118</definedName>
    <definedName name="match9">'[1]Feuille de match'!$AO$121:$AX$122</definedName>
    <definedName name="Mécanisme_de_jeu">Tirage!$L$7:$L$19</definedName>
    <definedName name="Mini_bonus">Tirage!$D$38</definedName>
    <definedName name="Mode_de_jeu">Tirage!$Q$21:$Q$24</definedName>
    <definedName name="Moyenneintermediaire">Match!$EM$36:$EV$41</definedName>
    <definedName name="Nb_joueurs">'[1]Feuille de match'!$R$2</definedName>
    <definedName name="Nom_des_joueurs">'[1]Feuille de match'!$R$4:$U$13</definedName>
    <definedName name="p1_1">Match!$B$6:$J$7</definedName>
    <definedName name="p1_2">Match!$M$6:$U$7</definedName>
    <definedName name="Poule1">Match!$B$6:$J$10</definedName>
    <definedName name="poule2">Match!$B$14:$J$18</definedName>
    <definedName name="poule3">Match!$B$23:$J$27</definedName>
    <definedName name="poule4">Match!$B$31:$J$35</definedName>
    <definedName name="poule5">Match!$M$6:$U$10</definedName>
    <definedName name="Poule6">Match!$M$14:$U$18</definedName>
    <definedName name="Pts_rep">'[1]Feuille de match'!$BY$84:$CD$114</definedName>
    <definedName name="Quota">Tirage!$G$17</definedName>
    <definedName name="quotareduit">Tirage!$G$18</definedName>
    <definedName name="Saisie">'[1]Feuille de match'!$H$16:$J$16,'[1]Feuille de match'!$H$17,'[1]Feuille de match'!$J$17,'[1]Feuille de match'!$H$20:$J$20,'[1]Feuille de match'!$H$21,'[1]Feuille de match'!$J$21,'[1]Feuille de match'!$H$24:$J$24,'[1]Feuille de match'!$J$25,'[1]Feuille de match'!$H$25,'[1]Feuille de match'!$H$28:$J$28,'[1]Feuille de match'!$J$29,'[1]Feuille de match'!$H$29,'[1]Feuille de match'!$H$32:$J$32,'[1]Feuille de match'!$J$33,'[1]Feuille de match'!$H$33,'[1]Feuille de match'!$H$36:$J$36,'[1]Feuille de match'!$J$37,'[1]Feuille de match'!$H$37,'[1]Feuille de match'!$H$40:$J$40,'[1]Feuille de match'!$J$41,'[1]Feuille de match'!$H$41,'[1]Feuille de match'!$H$44:$J$44,'[1]Feuille de match'!$H$45,'[1]Feuille de match'!$J$45,'[1]Feuille de match'!$H$48:$J$48,'[1]Feuille de match'!$J$49,'[1]Feuille de match'!$H$49,'[1]Feuille de match'!$H$52:$J$52,'[1]Feuille de match'!$J$53,'[1]Feuille de match'!$H$53,'[1]Feuille de match'!$R$4:$R$9</definedName>
    <definedName name="Scénario">'[1]Feuille de match'!$AR$193:$BE$268</definedName>
    <definedName name="Scenario1">Match!$CV$2:$DK$25</definedName>
    <definedName name="scenario2">Match!$DM$2:$EB$27</definedName>
    <definedName name="Stade_epreuve">Tirage!$Q$25:$Q$30</definedName>
    <definedName name="Tb_Moyenneintermediaire">Match!$FP$2:$FV$11</definedName>
    <definedName name="Tour1">Match!$B$6:$J$10,Match!$M$6:$U$10,Match!#REF!,Match!#REF!</definedName>
    <definedName name="Tour2">Match!$B$14:$J$18,Match!#REF!,Match!#REF!,Match!#REF!</definedName>
    <definedName name="tour3">Match!#REF!,Match!#REF!,Match!#REF!,Match!$B$23:$J$27</definedName>
    <definedName name="tour4">Match!$B$23:$J$27,Match!#REF!,Match!#REF!,Match!#REF!</definedName>
    <definedName name="TourDeJeu">Match!$CV$2:$DK$44</definedName>
    <definedName name="TourDeJeu2">Match!$DM$2:$EB$44</definedName>
    <definedName name="tr">[2]Tirage!$P$27:$P$34</definedName>
    <definedName name="_xlnm.Print_Area" localSheetId="2">'Classement impression'!$A$1:$T$38</definedName>
    <definedName name="_xlnm.Print_Area" localSheetId="4">'Engagement tour suivant'!$C$1:$L$50</definedName>
    <definedName name="_xlnm.Print_Area" localSheetId="3">'Feuille de résultat'!$B$1:$Q$43</definedName>
    <definedName name="_xlnm.Print_Area" localSheetId="1">Match!$A$1:$V$53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 l="1"/>
  <c r="E18" i="2"/>
  <c r="E15" i="2"/>
  <c r="N9" i="3" s="1"/>
  <c r="E10" i="2"/>
  <c r="I19" i="6"/>
  <c r="E19" i="6"/>
  <c r="O17" i="6"/>
  <c r="P17" i="6" s="1"/>
  <c r="B9" i="5"/>
  <c r="M33" i="5"/>
  <c r="C36" i="6" s="1"/>
  <c r="Z15" i="5"/>
  <c r="Y15" i="5"/>
  <c r="X15" i="5"/>
  <c r="W15" i="5"/>
  <c r="V15" i="5"/>
  <c r="U15" i="5"/>
  <c r="L11" i="5"/>
  <c r="D11" i="5"/>
  <c r="L10" i="5"/>
  <c r="D10" i="5"/>
  <c r="D8" i="3"/>
  <c r="R36" i="2"/>
  <c r="R31" i="2"/>
  <c r="R23" i="2"/>
  <c r="R17" i="2"/>
  <c r="R14" i="2"/>
  <c r="R9" i="2"/>
  <c r="R6" i="2"/>
  <c r="G34" i="2"/>
  <c r="G31" i="2"/>
  <c r="G26" i="2"/>
  <c r="G23" i="2"/>
  <c r="G17" i="2"/>
  <c r="G14" i="2"/>
  <c r="G9" i="2"/>
  <c r="G6" i="2"/>
  <c r="O41" i="3"/>
  <c r="O40" i="3"/>
  <c r="N40" i="3"/>
  <c r="M41" i="3"/>
  <c r="M40" i="3"/>
  <c r="P40" i="3"/>
  <c r="O38" i="3"/>
  <c r="O37" i="3"/>
  <c r="N37" i="3"/>
  <c r="M38" i="3"/>
  <c r="M37" i="3"/>
  <c r="P37" i="3"/>
  <c r="O35" i="3"/>
  <c r="O34" i="3"/>
  <c r="N34" i="3"/>
  <c r="M35" i="3"/>
  <c r="M34" i="3"/>
  <c r="P34" i="3"/>
  <c r="O31" i="3"/>
  <c r="O30" i="3"/>
  <c r="O29" i="3"/>
  <c r="O28" i="3"/>
  <c r="O26" i="3"/>
  <c r="O25" i="3"/>
  <c r="O24" i="3"/>
  <c r="O23" i="3"/>
  <c r="N30" i="3"/>
  <c r="N28" i="3"/>
  <c r="N25" i="3"/>
  <c r="N23" i="3"/>
  <c r="M31" i="3"/>
  <c r="M30" i="3"/>
  <c r="M29" i="3"/>
  <c r="M28" i="3"/>
  <c r="M26" i="3"/>
  <c r="M25" i="3"/>
  <c r="M24" i="3"/>
  <c r="M23" i="3"/>
  <c r="P30" i="3"/>
  <c r="P28" i="3"/>
  <c r="P25" i="3"/>
  <c r="P23" i="3"/>
  <c r="O21" i="3"/>
  <c r="M21" i="3"/>
  <c r="O20" i="3"/>
  <c r="N20" i="3"/>
  <c r="P20" i="3" s="1"/>
  <c r="M20" i="3"/>
  <c r="O19" i="3"/>
  <c r="M19" i="3"/>
  <c r="O18" i="3"/>
  <c r="N18" i="3"/>
  <c r="P18" i="3" s="1"/>
  <c r="M18" i="3"/>
  <c r="O16" i="3"/>
  <c r="M16" i="3"/>
  <c r="O15" i="3"/>
  <c r="N15" i="3"/>
  <c r="P15" i="3" s="1"/>
  <c r="M15" i="3"/>
  <c r="O14" i="3"/>
  <c r="M14" i="3"/>
  <c r="O13" i="3"/>
  <c r="N13" i="3"/>
  <c r="P13" i="3" s="1"/>
  <c r="M13" i="3"/>
  <c r="O11" i="3"/>
  <c r="M11" i="3"/>
  <c r="O10" i="3"/>
  <c r="N10" i="3"/>
  <c r="M10" i="3"/>
  <c r="O9" i="3"/>
  <c r="M9" i="3"/>
  <c r="O8" i="3"/>
  <c r="N8" i="3"/>
  <c r="M8" i="3"/>
  <c r="O6" i="3"/>
  <c r="M6" i="3"/>
  <c r="O5" i="3"/>
  <c r="N5" i="3"/>
  <c r="P5" i="3" s="1"/>
  <c r="M5" i="3"/>
  <c r="O4" i="3"/>
  <c r="M4" i="3"/>
  <c r="O3" i="3"/>
  <c r="N3" i="3"/>
  <c r="M3" i="3"/>
  <c r="H7" i="2"/>
  <c r="I10" i="2"/>
  <c r="I9" i="2"/>
  <c r="I6" i="2"/>
  <c r="U37" i="2"/>
  <c r="Q41" i="3" s="1"/>
  <c r="U36" i="2"/>
  <c r="Q40" i="3" s="1"/>
  <c r="U32" i="2"/>
  <c r="Q38" i="3" s="1"/>
  <c r="U31" i="2"/>
  <c r="Q37" i="3" s="1"/>
  <c r="U24" i="2"/>
  <c r="Q35" i="3" s="1"/>
  <c r="U23" i="2"/>
  <c r="Q34" i="3" s="1"/>
  <c r="U18" i="2"/>
  <c r="Q31" i="3" s="1"/>
  <c r="U17" i="2"/>
  <c r="Q30" i="3" s="1"/>
  <c r="U15" i="2"/>
  <c r="Q29" i="3" s="1"/>
  <c r="U14" i="2"/>
  <c r="Q28" i="3" s="1"/>
  <c r="U10" i="2"/>
  <c r="Q26" i="3" s="1"/>
  <c r="U9" i="2"/>
  <c r="Q25" i="3" s="1"/>
  <c r="U7" i="2"/>
  <c r="Q24" i="3" s="1"/>
  <c r="U6" i="2"/>
  <c r="Q23" i="3" s="1"/>
  <c r="J35" i="2"/>
  <c r="Q21" i="3" s="1"/>
  <c r="J34" i="2"/>
  <c r="Q20" i="3" s="1"/>
  <c r="J32" i="2"/>
  <c r="Q19" i="3" s="1"/>
  <c r="J31" i="2"/>
  <c r="Q18" i="3" s="1"/>
  <c r="J27" i="2"/>
  <c r="Q16" i="3" s="1"/>
  <c r="J26" i="2"/>
  <c r="Q15" i="3" s="1"/>
  <c r="J24" i="2"/>
  <c r="Q14" i="3" s="1"/>
  <c r="J23" i="2"/>
  <c r="Q13" i="3" s="1"/>
  <c r="J18" i="2"/>
  <c r="Q11" i="3" s="1"/>
  <c r="J17" i="2"/>
  <c r="Q10" i="3"/>
  <c r="J15" i="2"/>
  <c r="Q9" i="3" s="1"/>
  <c r="J14" i="2"/>
  <c r="Q8" i="3" s="1"/>
  <c r="J10" i="2"/>
  <c r="Q6" i="3"/>
  <c r="J9" i="2"/>
  <c r="Q5" i="3" s="1"/>
  <c r="J7" i="2"/>
  <c r="Q4" i="3" s="1"/>
  <c r="J6" i="2"/>
  <c r="Q3" i="3" s="1"/>
  <c r="P37" i="2"/>
  <c r="R37" i="2" s="1"/>
  <c r="P32" i="2"/>
  <c r="R32" i="2" s="1"/>
  <c r="P24" i="2"/>
  <c r="R24" i="2" s="1"/>
  <c r="P18" i="2"/>
  <c r="R18" i="2" s="1"/>
  <c r="P15" i="2"/>
  <c r="R15" i="2" s="1"/>
  <c r="P10" i="2"/>
  <c r="R10" i="2" s="1"/>
  <c r="P7" i="2"/>
  <c r="R7" i="2" s="1"/>
  <c r="E35" i="2"/>
  <c r="G35" i="2" s="1"/>
  <c r="E32" i="2"/>
  <c r="G32" i="2" s="1"/>
  <c r="E27" i="2"/>
  <c r="G27" i="2" s="1"/>
  <c r="G24" i="2"/>
  <c r="G18" i="2"/>
  <c r="G15" i="2"/>
  <c r="G10" i="2"/>
  <c r="E7" i="2"/>
  <c r="G7" i="2" s="1"/>
  <c r="I7" i="2"/>
  <c r="D7" i="3"/>
  <c r="D6" i="3"/>
  <c r="D5" i="3"/>
  <c r="D4" i="3"/>
  <c r="D3" i="3"/>
  <c r="N14" i="3"/>
  <c r="P14" i="3" s="1"/>
  <c r="N11" i="3"/>
  <c r="P11" i="3" s="1"/>
  <c r="N6" i="3"/>
  <c r="P6" i="3" s="1"/>
  <c r="N4" i="3"/>
  <c r="P4" i="3" s="1"/>
  <c r="P3" i="3"/>
  <c r="B7" i="1"/>
  <c r="B10" i="1"/>
  <c r="B11" i="1"/>
  <c r="B12" i="1"/>
  <c r="B13" i="1"/>
  <c r="Q82" i="1"/>
  <c r="Q83" i="1"/>
  <c r="Q84" i="1"/>
  <c r="Q65" i="1"/>
  <c r="Q77" i="1"/>
  <c r="Q71" i="1"/>
  <c r="Q66" i="1"/>
  <c r="Q50" i="1"/>
  <c r="R49" i="1" s="1"/>
  <c r="G17" i="1" s="1"/>
  <c r="Q51" i="1"/>
  <c r="S5" i="1"/>
  <c r="S3" i="1"/>
  <c r="I34" i="2"/>
  <c r="H35" i="2"/>
  <c r="I35" i="2"/>
  <c r="I31" i="2"/>
  <c r="H32" i="2"/>
  <c r="I32" i="2"/>
  <c r="T37" i="2"/>
  <c r="S37" i="2"/>
  <c r="T23" i="2"/>
  <c r="S24" i="2"/>
  <c r="T24" i="2"/>
  <c r="S32" i="2"/>
  <c r="CJ76" i="2"/>
  <c r="CJ75" i="2"/>
  <c r="CJ73" i="2"/>
  <c r="CF76" i="2"/>
  <c r="CF75" i="2"/>
  <c r="CF73" i="2"/>
  <c r="CB76" i="2"/>
  <c r="CB75" i="2"/>
  <c r="CB73" i="2"/>
  <c r="BX76" i="2"/>
  <c r="BX75" i="2"/>
  <c r="BX73" i="2"/>
  <c r="BT76" i="2"/>
  <c r="BT75" i="2"/>
  <c r="BT73" i="2"/>
  <c r="BP76" i="2"/>
  <c r="BP75" i="2"/>
  <c r="BP73" i="2"/>
  <c r="BL76" i="2"/>
  <c r="BL75" i="2"/>
  <c r="BL73" i="2"/>
  <c r="BH76" i="2"/>
  <c r="BH75" i="2"/>
  <c r="BH73" i="2"/>
  <c r="BD76" i="2"/>
  <c r="BD75" i="2"/>
  <c r="BD73" i="2"/>
  <c r="AZ76" i="2"/>
  <c r="AZ75" i="2"/>
  <c r="AZ73" i="2"/>
  <c r="AV76" i="2"/>
  <c r="AV75" i="2"/>
  <c r="AV73" i="2"/>
  <c r="AB76" i="2"/>
  <c r="AB75" i="2"/>
  <c r="AB73" i="2"/>
  <c r="AF76" i="2"/>
  <c r="AF75" i="2"/>
  <c r="AF73" i="2"/>
  <c r="AJ76" i="2"/>
  <c r="AJ75" i="2"/>
  <c r="AJ73" i="2"/>
  <c r="AN76" i="2"/>
  <c r="AN75" i="2"/>
  <c r="AN73" i="2"/>
  <c r="AR76" i="2"/>
  <c r="AR75" i="2"/>
  <c r="AR73" i="2"/>
  <c r="CJ59" i="2"/>
  <c r="CJ58" i="2"/>
  <c r="CJ56" i="2"/>
  <c r="CF59" i="2"/>
  <c r="CF58" i="2"/>
  <c r="CF56" i="2"/>
  <c r="CB59" i="2"/>
  <c r="CB58" i="2"/>
  <c r="CB56" i="2"/>
  <c r="BX59" i="2"/>
  <c r="BX58" i="2"/>
  <c r="BX56" i="2"/>
  <c r="BT59" i="2"/>
  <c r="BT58" i="2"/>
  <c r="BT56" i="2"/>
  <c r="BP59" i="2"/>
  <c r="BP58" i="2"/>
  <c r="BP56" i="2"/>
  <c r="BL59" i="2"/>
  <c r="BL58" i="2"/>
  <c r="BL56" i="2"/>
  <c r="BH59" i="2"/>
  <c r="BH58" i="2"/>
  <c r="BH56" i="2"/>
  <c r="BD59" i="2"/>
  <c r="BD58" i="2"/>
  <c r="BD56" i="2"/>
  <c r="AZ59" i="2"/>
  <c r="AZ58" i="2"/>
  <c r="AZ56" i="2"/>
  <c r="AV59" i="2"/>
  <c r="AV58" i="2"/>
  <c r="AV56" i="2"/>
  <c r="AR59" i="2"/>
  <c r="AR58" i="2"/>
  <c r="AR56" i="2"/>
  <c r="AN59" i="2"/>
  <c r="AN58" i="2"/>
  <c r="AN56" i="2"/>
  <c r="AJ59" i="2"/>
  <c r="AJ58" i="2"/>
  <c r="AJ56" i="2"/>
  <c r="AF59" i="2"/>
  <c r="AF58" i="2"/>
  <c r="AF56" i="2"/>
  <c r="AB59" i="2"/>
  <c r="AB58" i="2"/>
  <c r="AB56" i="2"/>
  <c r="T36" i="2"/>
  <c r="I18" i="2"/>
  <c r="S10" i="2"/>
  <c r="T10" i="2"/>
  <c r="T9" i="2"/>
  <c r="S7" i="2"/>
  <c r="T7" i="2"/>
  <c r="T6" i="2"/>
  <c r="H18" i="2"/>
  <c r="I17" i="2"/>
  <c r="H15" i="2"/>
  <c r="I15" i="2"/>
  <c r="I14" i="2"/>
  <c r="H10" i="2"/>
  <c r="S15" i="5"/>
  <c r="S4" i="1"/>
  <c r="S6" i="1"/>
  <c r="S7" i="1"/>
  <c r="S15" i="1" s="1"/>
  <c r="Q5" i="1" s="1"/>
  <c r="A3" i="2" s="1"/>
  <c r="S8" i="1"/>
  <c r="S9" i="1"/>
  <c r="S10" i="1"/>
  <c r="S11" i="1"/>
  <c r="S12" i="1"/>
  <c r="S13" i="1"/>
  <c r="T32" i="2"/>
  <c r="T31" i="2"/>
  <c r="T14" i="2"/>
  <c r="T18" i="2"/>
  <c r="T17" i="2"/>
  <c r="T15" i="2"/>
  <c r="Q52" i="1"/>
  <c r="Q53" i="1"/>
  <c r="Q54" i="1"/>
  <c r="Q55" i="1"/>
  <c r="Q56" i="1"/>
  <c r="Q57" i="1"/>
  <c r="Q58" i="1"/>
  <c r="Q59" i="1"/>
  <c r="Q60" i="1"/>
  <c r="Q61" i="1"/>
  <c r="Q62" i="1"/>
  <c r="Q63" i="1"/>
  <c r="Q64" i="1"/>
  <c r="Q67" i="1"/>
  <c r="Q68" i="1"/>
  <c r="Q69" i="1"/>
  <c r="Q70" i="1"/>
  <c r="Q72" i="1"/>
  <c r="Q73" i="1"/>
  <c r="Q74" i="1"/>
  <c r="Q75" i="1"/>
  <c r="Q76" i="1"/>
  <c r="Q78" i="1"/>
  <c r="Q79" i="1"/>
  <c r="Q80" i="1"/>
  <c r="Q81" i="1"/>
  <c r="Q85" i="1"/>
  <c r="Q86" i="1"/>
  <c r="Q87" i="1"/>
  <c r="Q88" i="1"/>
  <c r="B15" i="3"/>
  <c r="B16" i="3"/>
  <c r="B17" i="3"/>
  <c r="B18" i="3"/>
  <c r="B19" i="3"/>
  <c r="EW51" i="2"/>
  <c r="EW50" i="2"/>
  <c r="EW49" i="2"/>
  <c r="FB42" i="2"/>
  <c r="FC42" i="2"/>
  <c r="FD42" i="2"/>
  <c r="FE42" i="2"/>
  <c r="FF42" i="2"/>
  <c r="FG42" i="2"/>
  <c r="FB43" i="2"/>
  <c r="FC43" i="2"/>
  <c r="FD43" i="2"/>
  <c r="FE43" i="2"/>
  <c r="FF43" i="2"/>
  <c r="FG43" i="2"/>
  <c r="EO9" i="2"/>
  <c r="C5" i="3"/>
  <c r="B13" i="3"/>
  <c r="B14" i="3"/>
  <c r="B12" i="3"/>
  <c r="EW44" i="2"/>
  <c r="EW48" i="2"/>
  <c r="EW45" i="2"/>
  <c r="EW47" i="2"/>
  <c r="EW46" i="2"/>
  <c r="EP26" i="2"/>
  <c r="EQ26" i="2"/>
  <c r="ER26" i="2"/>
  <c r="ES26" i="2"/>
  <c r="EO26" i="2"/>
  <c r="B8" i="1"/>
  <c r="B9" i="1"/>
  <c r="B6" i="1"/>
  <c r="I26" i="2"/>
  <c r="I23" i="2"/>
  <c r="H27" i="2"/>
  <c r="I27" i="2"/>
  <c r="H24" i="2"/>
  <c r="AF88" i="2"/>
  <c r="AJ88" i="2"/>
  <c r="AN88" i="2"/>
  <c r="AR88" i="2"/>
  <c r="AV88" i="2"/>
  <c r="AZ88" i="2"/>
  <c r="BD88" i="2"/>
  <c r="BH88" i="2"/>
  <c r="S18" i="2"/>
  <c r="BL88" i="2"/>
  <c r="S15" i="2"/>
  <c r="BP88" i="2"/>
  <c r="BT88" i="2"/>
  <c r="BX88" i="2"/>
  <c r="CB88" i="2"/>
  <c r="CF88" i="2"/>
  <c r="CJ88" i="2"/>
  <c r="CN86" i="2"/>
  <c r="CN71" i="2"/>
  <c r="AB88" i="2"/>
  <c r="CN74" i="2"/>
  <c r="CN73" i="2"/>
  <c r="CN90" i="2"/>
  <c r="CN88" i="2"/>
  <c r="CJ92" i="2"/>
  <c r="CJ90" i="2"/>
  <c r="CF92" i="2"/>
  <c r="CF90" i="2"/>
  <c r="CB92" i="2"/>
  <c r="CB90" i="2"/>
  <c r="BX92" i="2"/>
  <c r="BX90" i="2"/>
  <c r="BT92" i="2"/>
  <c r="BT90" i="2"/>
  <c r="BP92" i="2"/>
  <c r="BP90" i="2"/>
  <c r="BL92" i="2"/>
  <c r="BL90" i="2"/>
  <c r="BH92" i="2"/>
  <c r="BH90" i="2"/>
  <c r="BD92" i="2"/>
  <c r="BD90" i="2"/>
  <c r="AZ92" i="2"/>
  <c r="AZ90" i="2"/>
  <c r="AV92" i="2"/>
  <c r="AV90" i="2"/>
  <c r="AR92" i="2"/>
  <c r="AR90" i="2"/>
  <c r="AN92" i="2"/>
  <c r="AN90" i="2"/>
  <c r="AJ92" i="2"/>
  <c r="AJ90" i="2"/>
  <c r="AF92" i="2"/>
  <c r="AF90" i="2"/>
  <c r="AB92" i="2"/>
  <c r="AB90" i="2"/>
  <c r="I24" i="2"/>
  <c r="BC86" i="2"/>
  <c r="BD86" i="2"/>
  <c r="AY86" i="2"/>
  <c r="AZ86" i="2"/>
  <c r="AA86" i="2"/>
  <c r="AB86" i="2"/>
  <c r="AE86" i="2"/>
  <c r="AF86" i="2"/>
  <c r="AM86" i="2"/>
  <c r="AN86" i="2"/>
  <c r="AQ86" i="2"/>
  <c r="AR86" i="2"/>
  <c r="AI86" i="2"/>
  <c r="AJ86" i="2"/>
  <c r="AU86" i="2"/>
  <c r="AV86" i="2"/>
  <c r="EO5" i="2"/>
  <c r="DC17" i="2" s="1"/>
  <c r="EO6" i="2"/>
  <c r="DC12" i="2" s="1"/>
  <c r="S49" i="1"/>
  <c r="EO8" i="2" l="1"/>
  <c r="P10" i="3"/>
  <c r="N21" i="3"/>
  <c r="P21" i="3" s="1"/>
  <c r="N26" i="3"/>
  <c r="P26" i="3" s="1"/>
  <c r="N31" i="3"/>
  <c r="P31" i="3" s="1"/>
  <c r="N38" i="3"/>
  <c r="P38" i="3" s="1"/>
  <c r="N19" i="3"/>
  <c r="P19" i="3" s="1"/>
  <c r="N24" i="3"/>
  <c r="P24" i="3" s="1"/>
  <c r="N29" i="3"/>
  <c r="P29" i="3" s="1"/>
  <c r="N35" i="3"/>
  <c r="P35" i="3" s="1"/>
  <c r="N41" i="3"/>
  <c r="P41" i="3" s="1"/>
  <c r="N16" i="3"/>
  <c r="P16" i="3" s="1"/>
  <c r="P9" i="3"/>
  <c r="P8" i="3"/>
  <c r="DH38" i="2"/>
  <c r="DH36" i="2"/>
  <c r="DH34" i="2"/>
  <c r="DF38" i="2"/>
  <c r="DF36" i="2"/>
  <c r="DF34" i="2"/>
  <c r="DE40" i="2"/>
  <c r="DE36" i="2"/>
  <c r="DE34" i="2"/>
  <c r="DD38" i="2"/>
  <c r="DD36" i="2"/>
  <c r="DD34" i="2"/>
  <c r="CY38" i="2"/>
  <c r="CY36" i="2"/>
  <c r="CY34" i="2"/>
  <c r="CX36" i="2"/>
  <c r="CV36" i="2"/>
  <c r="DD35" i="2"/>
  <c r="CY37" i="2"/>
  <c r="CY35" i="2"/>
  <c r="CX34" i="2"/>
  <c r="CV34" i="2"/>
  <c r="DH37" i="2"/>
  <c r="DH35" i="2"/>
  <c r="DF39" i="2"/>
  <c r="DF37" i="2"/>
  <c r="DF35" i="2"/>
  <c r="DE41" i="2"/>
  <c r="DE37" i="2"/>
  <c r="DE35" i="2"/>
  <c r="DD39" i="2"/>
  <c r="DD37" i="2"/>
  <c r="CY39" i="2"/>
  <c r="CX38" i="2"/>
  <c r="FI42" i="2"/>
  <c r="FH42" i="2" s="1"/>
  <c r="FI43" i="2"/>
  <c r="FH43" i="2" s="1"/>
  <c r="DV34" i="2"/>
  <c r="DV36" i="2"/>
  <c r="DV37" i="2"/>
  <c r="DV35" i="2"/>
  <c r="DK35" i="2"/>
  <c r="DB38" i="2"/>
  <c r="DK37" i="2"/>
  <c r="DG37" i="2"/>
  <c r="CW36" i="2"/>
  <c r="DI36" i="2"/>
  <c r="EB41" i="2"/>
  <c r="DC38" i="2"/>
  <c r="EB40" i="2"/>
  <c r="DI34" i="2"/>
  <c r="DI41" i="2"/>
  <c r="DK36" i="2"/>
  <c r="EB39" i="2"/>
  <c r="DG38" i="2"/>
  <c r="DC34" i="2"/>
  <c r="EB38" i="2"/>
  <c r="DG35" i="2"/>
  <c r="DZ34" i="2"/>
  <c r="DI38" i="2"/>
  <c r="DK39" i="2"/>
  <c r="DI39" i="2"/>
  <c r="DK34" i="2"/>
  <c r="DG39" i="2"/>
  <c r="CW34" i="2"/>
  <c r="DG34" i="2"/>
  <c r="DG36" i="2"/>
  <c r="DK38" i="2"/>
  <c r="DI40" i="2"/>
  <c r="DI35" i="2"/>
  <c r="DZ35" i="2"/>
  <c r="DC36" i="2"/>
  <c r="DB34" i="2"/>
  <c r="DB36" i="2"/>
  <c r="CW38" i="2"/>
  <c r="DI37" i="2"/>
  <c r="Q17" i="6"/>
  <c r="C44" i="6" s="1"/>
  <c r="F15" i="6"/>
  <c r="L23" i="2"/>
  <c r="N17" i="2"/>
  <c r="AS2" i="2"/>
  <c r="C9" i="2"/>
  <c r="A23" i="2"/>
  <c r="L13" i="3" s="1"/>
  <c r="N36" i="2"/>
  <c r="A17" i="2"/>
  <c r="B17" i="2" s="1"/>
  <c r="L10" i="3" s="1"/>
  <c r="A7" i="2"/>
  <c r="AK2" i="2"/>
  <c r="A32" i="2"/>
  <c r="B32" i="2" s="1"/>
  <c r="L19" i="3" s="1"/>
  <c r="A9" i="2"/>
  <c r="L37" i="2"/>
  <c r="M37" i="2" s="1"/>
  <c r="L41" i="3" s="1"/>
  <c r="BA2" i="2"/>
  <c r="N23" i="2"/>
  <c r="EM37" i="2"/>
  <c r="AC2" i="2"/>
  <c r="L7" i="2"/>
  <c r="M7" i="2" s="1"/>
  <c r="L24" i="3" s="1"/>
  <c r="L34" i="2"/>
  <c r="L39" i="3" s="1"/>
  <c r="EM36" i="2"/>
  <c r="A14" i="2"/>
  <c r="L8" i="3" s="1"/>
  <c r="BM2" i="2"/>
  <c r="BN2" i="2" s="1"/>
  <c r="BM24" i="2" s="1"/>
  <c r="BO24" i="2" s="1"/>
  <c r="N14" i="2"/>
  <c r="C34" i="2"/>
  <c r="L17" i="2"/>
  <c r="M17" i="2" s="1"/>
  <c r="L30" i="3" s="1"/>
  <c r="L31" i="2"/>
  <c r="M31" i="2" s="1"/>
  <c r="L37" i="3" s="1"/>
  <c r="M12" i="2"/>
  <c r="K28" i="3" s="1"/>
  <c r="N6" i="2"/>
  <c r="EM41" i="2"/>
  <c r="L32" i="2"/>
  <c r="M32" i="2" s="1"/>
  <c r="L38" i="3" s="1"/>
  <c r="L6" i="2"/>
  <c r="M6" i="2" s="1"/>
  <c r="L23" i="3" s="1"/>
  <c r="BY2" i="2"/>
  <c r="BZ2" i="2" s="1"/>
  <c r="BY24" i="2" s="1"/>
  <c r="CA24" i="2" s="1"/>
  <c r="C14" i="2"/>
  <c r="B21" i="2"/>
  <c r="K13" i="3" s="1"/>
  <c r="L10" i="2"/>
  <c r="M10" i="2" s="1"/>
  <c r="L26" i="3" s="1"/>
  <c r="C26" i="2"/>
  <c r="C23" i="2"/>
  <c r="L36" i="2"/>
  <c r="M36" i="2" s="1"/>
  <c r="L40" i="3" s="1"/>
  <c r="M3" i="2"/>
  <c r="K23" i="3" s="1"/>
  <c r="CG2" i="2"/>
  <c r="CH2" i="2" s="1"/>
  <c r="CG56" i="2" s="1"/>
  <c r="CI56" i="2" s="1"/>
  <c r="CI57" i="2" s="1"/>
  <c r="CG61" i="2" s="1"/>
  <c r="AW2" i="2"/>
  <c r="A10" i="2"/>
  <c r="A26" i="2"/>
  <c r="B26" i="2" s="1"/>
  <c r="L15" i="3" s="1"/>
  <c r="L21" i="2"/>
  <c r="L33" i="3" s="1"/>
  <c r="L14" i="2"/>
  <c r="M14" i="2" s="1"/>
  <c r="B29" i="2"/>
  <c r="K18" i="3" s="1"/>
  <c r="N31" i="2"/>
  <c r="AO2" i="2"/>
  <c r="EM38" i="2"/>
  <c r="BI2" i="2"/>
  <c r="BJ2" i="2" s="1"/>
  <c r="BI70" i="2" s="1"/>
  <c r="BK70" i="2" s="1"/>
  <c r="A6" i="2"/>
  <c r="CC2" i="2"/>
  <c r="CD2" i="2" s="1"/>
  <c r="CC92" i="2" s="1"/>
  <c r="CE92" i="2" s="1"/>
  <c r="EM39" i="2"/>
  <c r="A34" i="2"/>
  <c r="B34" i="2" s="1"/>
  <c r="L20" i="3" s="1"/>
  <c r="N9" i="2"/>
  <c r="C17" i="2"/>
  <c r="B12" i="2"/>
  <c r="K8" i="3" s="1"/>
  <c r="BE2" i="2"/>
  <c r="BF2" i="2" s="1"/>
  <c r="BE23" i="2" s="1"/>
  <c r="BG23" i="2" s="1"/>
  <c r="C31" i="2"/>
  <c r="L15" i="2"/>
  <c r="M15" i="2" s="1"/>
  <c r="L29" i="3" s="1"/>
  <c r="BQ2" i="2"/>
  <c r="BR2" i="2" s="1"/>
  <c r="BQ75" i="2" s="1"/>
  <c r="BS75" i="2" s="1"/>
  <c r="L18" i="2"/>
  <c r="M18" i="2" s="1"/>
  <c r="L31" i="3" s="1"/>
  <c r="BU2" i="2"/>
  <c r="BV2" i="2" s="1"/>
  <c r="BU73" i="2" s="1"/>
  <c r="BW73" i="2" s="1"/>
  <c r="BW74" i="2" s="1"/>
  <c r="BU78" i="2" s="1"/>
  <c r="A35" i="2"/>
  <c r="B35" i="2" s="1"/>
  <c r="L21" i="3" s="1"/>
  <c r="AG2" i="2"/>
  <c r="L29" i="2"/>
  <c r="L36" i="3" s="1"/>
  <c r="EM40" i="2"/>
  <c r="Y2" i="2"/>
  <c r="L9" i="2"/>
  <c r="M9" i="2" s="1"/>
  <c r="L25" i="3" s="1"/>
  <c r="A31" i="2"/>
  <c r="B31" i="2" s="1"/>
  <c r="L18" i="3" s="1"/>
  <c r="L24" i="2"/>
  <c r="M24" i="2" s="1"/>
  <c r="L35" i="3" s="1"/>
  <c r="B3" i="2"/>
  <c r="K3" i="3" s="1"/>
  <c r="C6" i="2"/>
  <c r="CC40" i="2"/>
  <c r="CE40" i="2" s="1"/>
  <c r="CG25" i="2"/>
  <c r="CI25" i="2" s="1"/>
  <c r="B10" i="2" l="1"/>
  <c r="L6" i="3" s="1"/>
  <c r="EN8" i="2"/>
  <c r="B9" i="2"/>
  <c r="L5" i="3" s="1"/>
  <c r="EN9" i="2"/>
  <c r="L3" i="3"/>
  <c r="EN6" i="2"/>
  <c r="B7" i="2"/>
  <c r="L4" i="3" s="1"/>
  <c r="EN5" i="2"/>
  <c r="BQ8" i="2"/>
  <c r="BS8" i="2" s="1"/>
  <c r="BI27" i="2"/>
  <c r="BK27" i="2" s="1"/>
  <c r="BE16" i="2"/>
  <c r="BG16" i="2" s="1"/>
  <c r="BM26" i="2"/>
  <c r="BO26" i="2" s="1"/>
  <c r="BI86" i="2"/>
  <c r="BK86" i="2" s="1"/>
  <c r="BL86" i="2" s="1"/>
  <c r="BE4" i="2"/>
  <c r="BG4" i="2" s="1"/>
  <c r="BQ16" i="2"/>
  <c r="BS16" i="2" s="1"/>
  <c r="BQ27" i="2"/>
  <c r="BS27" i="2" s="1"/>
  <c r="BQ88" i="2"/>
  <c r="BS88" i="2" s="1"/>
  <c r="BS89" i="2" s="1"/>
  <c r="BI59" i="2"/>
  <c r="BK59" i="2" s="1"/>
  <c r="BK60" i="2" s="1"/>
  <c r="CC26" i="2"/>
  <c r="CE26" i="2" s="1"/>
  <c r="BI26" i="2"/>
  <c r="BK26" i="2" s="1"/>
  <c r="BE70" i="2"/>
  <c r="BG70" i="2" s="1"/>
  <c r="CC90" i="2"/>
  <c r="CE90" i="2" s="1"/>
  <c r="CC94" i="2" s="1"/>
  <c r="BI15" i="2"/>
  <c r="BK15" i="2" s="1"/>
  <c r="BI73" i="2"/>
  <c r="BK73" i="2" s="1"/>
  <c r="BK74" i="2" s="1"/>
  <c r="BY19" i="2"/>
  <c r="CA19" i="2" s="1"/>
  <c r="CG4" i="2"/>
  <c r="CI4" i="2" s="1"/>
  <c r="CC4" i="2"/>
  <c r="CE4" i="2" s="1"/>
  <c r="BI18" i="2"/>
  <c r="BK18" i="2" s="1"/>
  <c r="BI34" i="2" s="1"/>
  <c r="CC73" i="2"/>
  <c r="CE73" i="2" s="1"/>
  <c r="CE74" i="2" s="1"/>
  <c r="CC78" i="2" s="1"/>
  <c r="BY76" i="2"/>
  <c r="CA76" i="2" s="1"/>
  <c r="CA77" i="2" s="1"/>
  <c r="CG59" i="2"/>
  <c r="CI59" i="2" s="1"/>
  <c r="CI60" i="2" s="1"/>
  <c r="BI56" i="2"/>
  <c r="BK56" i="2" s="1"/>
  <c r="BK57" i="2" s="1"/>
  <c r="BI61" i="2" s="1"/>
  <c r="CC39" i="2"/>
  <c r="CE39" i="2" s="1"/>
  <c r="BE86" i="2"/>
  <c r="BG86" i="2" s="1"/>
  <c r="BH86" i="2" s="1"/>
  <c r="BU39" i="2"/>
  <c r="BW39" i="2" s="1"/>
  <c r="BU7" i="2"/>
  <c r="BW7" i="2" s="1"/>
  <c r="BQ53" i="2"/>
  <c r="BS53" i="2" s="1"/>
  <c r="BT53" i="2" s="1"/>
  <c r="BQ42" i="2"/>
  <c r="BS42" i="2" s="1"/>
  <c r="BQ6" i="2"/>
  <c r="BS6" i="2" s="1"/>
  <c r="BU17" i="2"/>
  <c r="BW17" i="2" s="1"/>
  <c r="BM7" i="2"/>
  <c r="BO7" i="2" s="1"/>
  <c r="BI92" i="2"/>
  <c r="BK92" i="2" s="1"/>
  <c r="BI17" i="2"/>
  <c r="BK17" i="2" s="1"/>
  <c r="BI19" i="2"/>
  <c r="BK19" i="2" s="1"/>
  <c r="BI35" i="2" s="1"/>
  <c r="BM27" i="2"/>
  <c r="BO27" i="2" s="1"/>
  <c r="CG15" i="2"/>
  <c r="CI15" i="2" s="1"/>
  <c r="CG40" i="2"/>
  <c r="CI40" i="2" s="1"/>
  <c r="BE39" i="2"/>
  <c r="BG39" i="2" s="1"/>
  <c r="CC88" i="2"/>
  <c r="CE88" i="2" s="1"/>
  <c r="CE89" i="2" s="1"/>
  <c r="BI23" i="2"/>
  <c r="BK23" i="2" s="1"/>
  <c r="BI88" i="2"/>
  <c r="BK88" i="2" s="1"/>
  <c r="BK89" i="2" s="1"/>
  <c r="CC7" i="2"/>
  <c r="CE7" i="2" s="1"/>
  <c r="CC17" i="2"/>
  <c r="CE17" i="2" s="1"/>
  <c r="BM6" i="2"/>
  <c r="BO6" i="2" s="1"/>
  <c r="BY23" i="2"/>
  <c r="CA23" i="2" s="1"/>
  <c r="CG58" i="2"/>
  <c r="CH64" i="2" s="1"/>
  <c r="CG41" i="2"/>
  <c r="CI41" i="2" s="1"/>
  <c r="CC41" i="2"/>
  <c r="CE41" i="2" s="1"/>
  <c r="BI39" i="2"/>
  <c r="BK39" i="2" s="1"/>
  <c r="CC20" i="2"/>
  <c r="CE20" i="2" s="1"/>
  <c r="CC85" i="2"/>
  <c r="CE85" i="2" s="1"/>
  <c r="CC24" i="2"/>
  <c r="CE24" i="2" s="1"/>
  <c r="BE25" i="2"/>
  <c r="BG25" i="2" s="1"/>
  <c r="BE40" i="2"/>
  <c r="BG40" i="2" s="1"/>
  <c r="BQ24" i="2"/>
  <c r="BS24" i="2" s="1"/>
  <c r="BQ32" i="2" s="1"/>
  <c r="BQ44" i="2"/>
  <c r="BS44" i="2" s="1"/>
  <c r="BU3" i="2"/>
  <c r="BW3" i="2" s="1"/>
  <c r="BU86" i="2"/>
  <c r="BW86" i="2" s="1"/>
  <c r="BX86" i="2" s="1"/>
  <c r="BQ76" i="2"/>
  <c r="BS76" i="2" s="1"/>
  <c r="BS77" i="2" s="1"/>
  <c r="BQ28" i="2"/>
  <c r="BS28" i="2" s="1"/>
  <c r="BQ25" i="2"/>
  <c r="BS25" i="2" s="1"/>
  <c r="BU53" i="2"/>
  <c r="BW53" i="2" s="1"/>
  <c r="BU41" i="2"/>
  <c r="BW41" i="2" s="1"/>
  <c r="BQ85" i="2"/>
  <c r="BS85" i="2" s="1"/>
  <c r="BQ19" i="2"/>
  <c r="BS19" i="2" s="1"/>
  <c r="BU44" i="2"/>
  <c r="BW44" i="2" s="1"/>
  <c r="BU56" i="2"/>
  <c r="BW56" i="2" s="1"/>
  <c r="BW57" i="2" s="1"/>
  <c r="BU61" i="2" s="1"/>
  <c r="BM92" i="2"/>
  <c r="BO92" i="2" s="1"/>
  <c r="BO93" i="2" s="1"/>
  <c r="BI85" i="2"/>
  <c r="BK85" i="2" s="1"/>
  <c r="BI76" i="2"/>
  <c r="BK76" i="2" s="1"/>
  <c r="BK77" i="2" s="1"/>
  <c r="BI41" i="2"/>
  <c r="BK41" i="2" s="1"/>
  <c r="BI6" i="2"/>
  <c r="BK6" i="2" s="1"/>
  <c r="BI53" i="2"/>
  <c r="BK53" i="2" s="1"/>
  <c r="BK55" i="2" s="1"/>
  <c r="BI25" i="2"/>
  <c r="BK25" i="2" s="1"/>
  <c r="BI90" i="2"/>
  <c r="BJ97" i="2" s="1"/>
  <c r="BK97" i="2" s="1"/>
  <c r="BM28" i="2"/>
  <c r="BO28" i="2" s="1"/>
  <c r="BM43" i="2"/>
  <c r="BO43" i="2" s="1"/>
  <c r="BY75" i="2"/>
  <c r="CA75" i="2" s="1"/>
  <c r="CG26" i="2"/>
  <c r="CI26" i="2" s="1"/>
  <c r="CG76" i="2"/>
  <c r="CI76" i="2" s="1"/>
  <c r="CI77" i="2" s="1"/>
  <c r="CG39" i="2"/>
  <c r="CI39" i="2" s="1"/>
  <c r="CG6" i="2"/>
  <c r="CI6" i="2" s="1"/>
  <c r="CG92" i="2"/>
  <c r="CI92" i="2" s="1"/>
  <c r="CI93" i="2" s="1"/>
  <c r="BI43" i="2"/>
  <c r="BK43" i="2" s="1"/>
  <c r="BE15" i="2"/>
  <c r="BG15" i="2" s="1"/>
  <c r="BE31" i="2" s="1"/>
  <c r="CC8" i="2"/>
  <c r="CE8" i="2" s="1"/>
  <c r="CC86" i="2"/>
  <c r="CE86" i="2" s="1"/>
  <c r="CF86" i="2" s="1"/>
  <c r="BI8" i="2"/>
  <c r="BK8" i="2" s="1"/>
  <c r="BI24" i="2"/>
  <c r="BK24" i="2" s="1"/>
  <c r="BI7" i="2"/>
  <c r="BK7" i="2" s="1"/>
  <c r="BI16" i="2"/>
  <c r="BK16" i="2" s="1"/>
  <c r="BE73" i="2"/>
  <c r="BG73" i="2" s="1"/>
  <c r="BG74" i="2" s="1"/>
  <c r="BE78" i="2" s="1"/>
  <c r="BE8" i="2"/>
  <c r="BG8" i="2" s="1"/>
  <c r="CC70" i="2"/>
  <c r="CE70" i="2" s="1"/>
  <c r="CE72" i="2" s="1"/>
  <c r="CC56" i="2"/>
  <c r="CE56" i="2" s="1"/>
  <c r="CE57" i="2" s="1"/>
  <c r="CC61" i="2" s="1"/>
  <c r="BY27" i="2"/>
  <c r="CA27" i="2" s="1"/>
  <c r="BI44" i="2"/>
  <c r="BK44" i="2" s="1"/>
  <c r="CG8" i="2"/>
  <c r="CI8" i="2" s="1"/>
  <c r="CG44" i="2"/>
  <c r="CI44" i="2" s="1"/>
  <c r="CC15" i="2"/>
  <c r="CE15" i="2" s="1"/>
  <c r="BI58" i="2"/>
  <c r="BE5" i="2"/>
  <c r="BG5" i="2" s="1"/>
  <c r="CC53" i="2"/>
  <c r="CE53" i="2" s="1"/>
  <c r="CF53" i="2" s="1"/>
  <c r="CC19" i="2"/>
  <c r="CE19" i="2" s="1"/>
  <c r="CC28" i="2"/>
  <c r="CE28" i="2" s="1"/>
  <c r="CC3" i="2"/>
  <c r="CE3" i="2" s="1"/>
  <c r="BE76" i="2"/>
  <c r="BG76" i="2" s="1"/>
  <c r="BG77" i="2" s="1"/>
  <c r="BE18" i="2"/>
  <c r="BG18" i="2" s="1"/>
  <c r="BU76" i="2"/>
  <c r="BW76" i="2" s="1"/>
  <c r="BW77" i="2" s="1"/>
  <c r="BU75" i="2"/>
  <c r="BW75" i="2" s="1"/>
  <c r="BQ73" i="2"/>
  <c r="BS73" i="2" s="1"/>
  <c r="BS74" i="2" s="1"/>
  <c r="BQ78" i="2" s="1"/>
  <c r="BQ39" i="2"/>
  <c r="BS39" i="2" s="1"/>
  <c r="BU5" i="2"/>
  <c r="BW5" i="2" s="1"/>
  <c r="BU92" i="2"/>
  <c r="BW92" i="2" s="1"/>
  <c r="BW93" i="2" s="1"/>
  <c r="BU18" i="2"/>
  <c r="BW18" i="2" s="1"/>
  <c r="BQ7" i="2"/>
  <c r="BS7" i="2" s="1"/>
  <c r="BQ18" i="2"/>
  <c r="BS18" i="2" s="1"/>
  <c r="BQ5" i="2"/>
  <c r="BS5" i="2" s="1"/>
  <c r="BQ4" i="2"/>
  <c r="BS4" i="2" s="1"/>
  <c r="BQ23" i="2"/>
  <c r="BS23" i="2" s="1"/>
  <c r="BU6" i="2"/>
  <c r="BW6" i="2" s="1"/>
  <c r="BU26" i="2"/>
  <c r="BW26" i="2" s="1"/>
  <c r="BQ41" i="2"/>
  <c r="BS41" i="2" s="1"/>
  <c r="BQ70" i="2"/>
  <c r="BS70" i="2" s="1"/>
  <c r="BS72" i="2" s="1"/>
  <c r="BU40" i="2"/>
  <c r="BW40" i="2" s="1"/>
  <c r="BU24" i="2"/>
  <c r="BW24" i="2" s="1"/>
  <c r="BU70" i="2"/>
  <c r="BW70" i="2" s="1"/>
  <c r="BX70" i="2" s="1"/>
  <c r="CK73" i="2"/>
  <c r="CM73" i="2" s="1"/>
  <c r="CK76" i="2" s="1"/>
  <c r="CK71" i="2"/>
  <c r="CM71" i="2" s="1"/>
  <c r="CM72" i="2" s="1"/>
  <c r="CK88" i="2"/>
  <c r="CM88" i="2" s="1"/>
  <c r="CK92" i="2" s="1"/>
  <c r="CF85" i="2"/>
  <c r="CE87" i="2" s="1"/>
  <c r="CK84" i="2"/>
  <c r="CM84" i="2" s="1"/>
  <c r="CN84" i="2" s="1"/>
  <c r="CK86" i="2"/>
  <c r="CM86" i="2" s="1"/>
  <c r="CM87" i="2" s="1"/>
  <c r="EM29" i="2"/>
  <c r="AH2" i="2"/>
  <c r="BU42" i="2"/>
  <c r="BW42" i="2" s="1"/>
  <c r="BU4" i="2"/>
  <c r="BW4" i="2" s="1"/>
  <c r="BU85" i="2"/>
  <c r="BW85" i="2" s="1"/>
  <c r="BU58" i="2"/>
  <c r="BW58" i="2" s="1"/>
  <c r="BU8" i="2"/>
  <c r="BW8" i="2" s="1"/>
  <c r="BU16" i="2"/>
  <c r="BW16" i="2" s="1"/>
  <c r="BU23" i="2"/>
  <c r="BW23" i="2" s="1"/>
  <c r="BU20" i="2"/>
  <c r="BW20" i="2" s="1"/>
  <c r="BU28" i="2"/>
  <c r="BW28" i="2" s="1"/>
  <c r="BU43" i="2"/>
  <c r="BW43" i="2" s="1"/>
  <c r="BU59" i="2"/>
  <c r="BW59" i="2" s="1"/>
  <c r="BW60" i="2" s="1"/>
  <c r="BU19" i="2"/>
  <c r="BW19" i="2" s="1"/>
  <c r="BU90" i="2"/>
  <c r="BW90" i="2" s="1"/>
  <c r="BU94" i="2" s="1"/>
  <c r="BU27" i="2"/>
  <c r="BW27" i="2" s="1"/>
  <c r="BU15" i="2"/>
  <c r="BW15" i="2" s="1"/>
  <c r="BU25" i="2"/>
  <c r="BW25" i="2" s="1"/>
  <c r="BU88" i="2"/>
  <c r="BQ58" i="2"/>
  <c r="BQ90" i="2"/>
  <c r="BS90" i="2" s="1"/>
  <c r="BQ94" i="2" s="1"/>
  <c r="BQ15" i="2"/>
  <c r="BS15" i="2" s="1"/>
  <c r="BQ56" i="2"/>
  <c r="BS56" i="2" s="1"/>
  <c r="BS57" i="2" s="1"/>
  <c r="BQ61" i="2" s="1"/>
  <c r="BQ3" i="2"/>
  <c r="BS3" i="2" s="1"/>
  <c r="BQ92" i="2"/>
  <c r="BS92" i="2" s="1"/>
  <c r="BS93" i="2" s="1"/>
  <c r="BQ59" i="2"/>
  <c r="BS59" i="2" s="1"/>
  <c r="BS60" i="2" s="1"/>
  <c r="BQ26" i="2"/>
  <c r="BS26" i="2" s="1"/>
  <c r="BQ17" i="2"/>
  <c r="BS17" i="2" s="1"/>
  <c r="BQ33" i="2" s="1"/>
  <c r="BQ43" i="2"/>
  <c r="BS43" i="2" s="1"/>
  <c r="BQ86" i="2"/>
  <c r="BS86" i="2" s="1"/>
  <c r="BT86" i="2" s="1"/>
  <c r="BQ20" i="2"/>
  <c r="BS20" i="2" s="1"/>
  <c r="BQ40" i="2"/>
  <c r="BS40" i="2" s="1"/>
  <c r="L28" i="3"/>
  <c r="CK68" i="2"/>
  <c r="CM68" i="2" s="1"/>
  <c r="CK74" i="2"/>
  <c r="CM74" i="2" s="1"/>
  <c r="CM75" i="2" s="1"/>
  <c r="CK69" i="2"/>
  <c r="CM69" i="2" s="1"/>
  <c r="CN69" i="2" s="1"/>
  <c r="EM33" i="2"/>
  <c r="AX2" i="2"/>
  <c r="AD2" i="2"/>
  <c r="EM28" i="2"/>
  <c r="Z2" i="2"/>
  <c r="EM27" i="2"/>
  <c r="BE90" i="2"/>
  <c r="BG90" i="2" s="1"/>
  <c r="BE94" i="2" s="1"/>
  <c r="BE20" i="2"/>
  <c r="BG20" i="2" s="1"/>
  <c r="BE92" i="2"/>
  <c r="BG92" i="2" s="1"/>
  <c r="BG93" i="2" s="1"/>
  <c r="BE43" i="2"/>
  <c r="BG43" i="2" s="1"/>
  <c r="BE56" i="2"/>
  <c r="BG56" i="2" s="1"/>
  <c r="BG57" i="2" s="1"/>
  <c r="BE61" i="2" s="1"/>
  <c r="BE24" i="2"/>
  <c r="BG24" i="2" s="1"/>
  <c r="BE32" i="2" s="1"/>
  <c r="BE27" i="2"/>
  <c r="BG27" i="2" s="1"/>
  <c r="BE19" i="2"/>
  <c r="BG19" i="2" s="1"/>
  <c r="BE88" i="2"/>
  <c r="BE7" i="2"/>
  <c r="BG7" i="2" s="1"/>
  <c r="BE53" i="2"/>
  <c r="BG53" i="2" s="1"/>
  <c r="BE59" i="2"/>
  <c r="BG59" i="2" s="1"/>
  <c r="BG60" i="2" s="1"/>
  <c r="BE58" i="2"/>
  <c r="BE26" i="2"/>
  <c r="BG26" i="2" s="1"/>
  <c r="BE44" i="2"/>
  <c r="BG44" i="2" s="1"/>
  <c r="BE6" i="2"/>
  <c r="BG6" i="2" s="1"/>
  <c r="BE17" i="2"/>
  <c r="BG17" i="2" s="1"/>
  <c r="BE28" i="2"/>
  <c r="BG28" i="2" s="1"/>
  <c r="BE36" i="2" s="1"/>
  <c r="BE41" i="2"/>
  <c r="BG41" i="2" s="1"/>
  <c r="BE3" i="2"/>
  <c r="BG3" i="2" s="1"/>
  <c r="BE75" i="2"/>
  <c r="BG75" i="2" s="1"/>
  <c r="BE85" i="2"/>
  <c r="BG85" i="2" s="1"/>
  <c r="BE42" i="2"/>
  <c r="BG42" i="2" s="1"/>
  <c r="CC27" i="2"/>
  <c r="CE27" i="2" s="1"/>
  <c r="CC25" i="2"/>
  <c r="CE25" i="2" s="1"/>
  <c r="CC75" i="2"/>
  <c r="CC59" i="2"/>
  <c r="CE59" i="2" s="1"/>
  <c r="CE60" i="2" s="1"/>
  <c r="CC58" i="2"/>
  <c r="CE58" i="2" s="1"/>
  <c r="CC44" i="2"/>
  <c r="CE44" i="2" s="1"/>
  <c r="CC16" i="2"/>
  <c r="CE16" i="2" s="1"/>
  <c r="CC6" i="2"/>
  <c r="CE6" i="2" s="1"/>
  <c r="CC43" i="2"/>
  <c r="CE43" i="2" s="1"/>
  <c r="CC23" i="2"/>
  <c r="CE23" i="2" s="1"/>
  <c r="CC5" i="2"/>
  <c r="CE5" i="2" s="1"/>
  <c r="CC76" i="2"/>
  <c r="CE76" i="2" s="1"/>
  <c r="CE77" i="2" s="1"/>
  <c r="CC42" i="2"/>
  <c r="CE42" i="2" s="1"/>
  <c r="CC18" i="2"/>
  <c r="CE18" i="2" s="1"/>
  <c r="BI20" i="2"/>
  <c r="BK20" i="2" s="1"/>
  <c r="BI4" i="2"/>
  <c r="BK4" i="2" s="1"/>
  <c r="BI3" i="2"/>
  <c r="BK3" i="2" s="1"/>
  <c r="BI40" i="2"/>
  <c r="BK40" i="2" s="1"/>
  <c r="BI75" i="2"/>
  <c r="BK75" i="2" s="1"/>
  <c r="BI28" i="2"/>
  <c r="BK28" i="2" s="1"/>
  <c r="BI42" i="2"/>
  <c r="BK42" i="2" s="1"/>
  <c r="BI5" i="2"/>
  <c r="BK5" i="2" s="1"/>
  <c r="EM31" i="2"/>
  <c r="AP2" i="2"/>
  <c r="CG70" i="2"/>
  <c r="CI70" i="2" s="1"/>
  <c r="CG16" i="2"/>
  <c r="CI16" i="2" s="1"/>
  <c r="CG43" i="2"/>
  <c r="CI43" i="2" s="1"/>
  <c r="CG17" i="2"/>
  <c r="CI17" i="2" s="1"/>
  <c r="CG33" i="2" s="1"/>
  <c r="CG53" i="2"/>
  <c r="CI53" i="2" s="1"/>
  <c r="CG7" i="2"/>
  <c r="CI7" i="2" s="1"/>
  <c r="CG42" i="2"/>
  <c r="CI42" i="2" s="1"/>
  <c r="CI45" i="2" s="1"/>
  <c r="CG50" i="2" s="1"/>
  <c r="CG3" i="2"/>
  <c r="CI3" i="2" s="1"/>
  <c r="CG90" i="2"/>
  <c r="CI90" i="2" s="1"/>
  <c r="CG94" i="2" s="1"/>
  <c r="CG28" i="2"/>
  <c r="CI28" i="2" s="1"/>
  <c r="CG73" i="2"/>
  <c r="CI73" i="2" s="1"/>
  <c r="CI74" i="2" s="1"/>
  <c r="CG78" i="2" s="1"/>
  <c r="CG19" i="2"/>
  <c r="CI19" i="2" s="1"/>
  <c r="CG88" i="2"/>
  <c r="CG85" i="2"/>
  <c r="CI85" i="2" s="1"/>
  <c r="CG5" i="2"/>
  <c r="CI5" i="2" s="1"/>
  <c r="CG18" i="2"/>
  <c r="CI18" i="2" s="1"/>
  <c r="CG23" i="2"/>
  <c r="CI23" i="2" s="1"/>
  <c r="CG24" i="2"/>
  <c r="CI24" i="2" s="1"/>
  <c r="CG32" i="2" s="1"/>
  <c r="CG27" i="2"/>
  <c r="CI27" i="2" s="1"/>
  <c r="CG20" i="2"/>
  <c r="CI20" i="2" s="1"/>
  <c r="CG75" i="2"/>
  <c r="CG86" i="2"/>
  <c r="CI86" i="2" s="1"/>
  <c r="CJ86" i="2" s="1"/>
  <c r="CJ85" i="2" s="1"/>
  <c r="CI87" i="2" s="1"/>
  <c r="BY20" i="2"/>
  <c r="CA20" i="2" s="1"/>
  <c r="BY3" i="2"/>
  <c r="CA3" i="2" s="1"/>
  <c r="BY5" i="2"/>
  <c r="CA5" i="2" s="1"/>
  <c r="BY92" i="2"/>
  <c r="CA92" i="2" s="1"/>
  <c r="BY8" i="2"/>
  <c r="CA8" i="2" s="1"/>
  <c r="BY7" i="2"/>
  <c r="CA7" i="2" s="1"/>
  <c r="BY18" i="2"/>
  <c r="CA18" i="2" s="1"/>
  <c r="BY4" i="2"/>
  <c r="CA4" i="2" s="1"/>
  <c r="BY90" i="2"/>
  <c r="CA90" i="2" s="1"/>
  <c r="BY94" i="2" s="1"/>
  <c r="BY26" i="2"/>
  <c r="CA26" i="2" s="1"/>
  <c r="BY6" i="2"/>
  <c r="CA6" i="2" s="1"/>
  <c r="BY25" i="2"/>
  <c r="CA25" i="2" s="1"/>
  <c r="BY44" i="2"/>
  <c r="CA44" i="2" s="1"/>
  <c r="BY59" i="2"/>
  <c r="CA59" i="2" s="1"/>
  <c r="CA60" i="2" s="1"/>
  <c r="BY42" i="2"/>
  <c r="CA42" i="2" s="1"/>
  <c r="BY16" i="2"/>
  <c r="CA16" i="2" s="1"/>
  <c r="BY32" i="2" s="1"/>
  <c r="BY15" i="2"/>
  <c r="CA15" i="2" s="1"/>
  <c r="BY73" i="2"/>
  <c r="CA73" i="2" s="1"/>
  <c r="CA74" i="2" s="1"/>
  <c r="BY78" i="2" s="1"/>
  <c r="BY58" i="2"/>
  <c r="BY39" i="2"/>
  <c r="CA39" i="2" s="1"/>
  <c r="BY56" i="2"/>
  <c r="CA56" i="2" s="1"/>
  <c r="CA57" i="2" s="1"/>
  <c r="BY61" i="2" s="1"/>
  <c r="BY70" i="2"/>
  <c r="CA70" i="2" s="1"/>
  <c r="BY88" i="2"/>
  <c r="BY41" i="2"/>
  <c r="CA41" i="2" s="1"/>
  <c r="BY86" i="2"/>
  <c r="CA86" i="2" s="1"/>
  <c r="CB86" i="2" s="1"/>
  <c r="BY17" i="2"/>
  <c r="CA17" i="2" s="1"/>
  <c r="BY85" i="2"/>
  <c r="CA85" i="2" s="1"/>
  <c r="BY40" i="2"/>
  <c r="CA40" i="2" s="1"/>
  <c r="BY28" i="2"/>
  <c r="CA28" i="2" s="1"/>
  <c r="BY36" i="2" s="1"/>
  <c r="BY53" i="2"/>
  <c r="CA53" i="2" s="1"/>
  <c r="BY43" i="2"/>
  <c r="CA43" i="2" s="1"/>
  <c r="BM44" i="2"/>
  <c r="BO44" i="2" s="1"/>
  <c r="BM75" i="2"/>
  <c r="BM88" i="2"/>
  <c r="BM20" i="2"/>
  <c r="BO20" i="2" s="1"/>
  <c r="BM17" i="2"/>
  <c r="BO17" i="2" s="1"/>
  <c r="BM86" i="2"/>
  <c r="BO86" i="2" s="1"/>
  <c r="BP86" i="2" s="1"/>
  <c r="BM16" i="2"/>
  <c r="BO16" i="2" s="1"/>
  <c r="BM32" i="2" s="1"/>
  <c r="BM41" i="2"/>
  <c r="BO41" i="2" s="1"/>
  <c r="BM23" i="2"/>
  <c r="BO23" i="2" s="1"/>
  <c r="BM25" i="2"/>
  <c r="BO25" i="2" s="1"/>
  <c r="BM53" i="2"/>
  <c r="BO53" i="2" s="1"/>
  <c r="BM19" i="2"/>
  <c r="BO19" i="2" s="1"/>
  <c r="BM35" i="2" s="1"/>
  <c r="BM90" i="2"/>
  <c r="BO90" i="2" s="1"/>
  <c r="BM94" i="2" s="1"/>
  <c r="BM15" i="2"/>
  <c r="BO15" i="2" s="1"/>
  <c r="BM5" i="2"/>
  <c r="BO5" i="2" s="1"/>
  <c r="BM85" i="2"/>
  <c r="BO85" i="2" s="1"/>
  <c r="BM4" i="2"/>
  <c r="BO4" i="2" s="1"/>
  <c r="BM3" i="2"/>
  <c r="BO3" i="2" s="1"/>
  <c r="BM73" i="2"/>
  <c r="BO73" i="2" s="1"/>
  <c r="BO74" i="2" s="1"/>
  <c r="BM78" i="2" s="1"/>
  <c r="BM39" i="2"/>
  <c r="BO39" i="2" s="1"/>
  <c r="BM59" i="2"/>
  <c r="BO59" i="2" s="1"/>
  <c r="BO60" i="2" s="1"/>
  <c r="BM70" i="2"/>
  <c r="BO70" i="2" s="1"/>
  <c r="BM56" i="2"/>
  <c r="BO56" i="2" s="1"/>
  <c r="BO57" i="2" s="1"/>
  <c r="BM61" i="2" s="1"/>
  <c r="BM40" i="2"/>
  <c r="BO40" i="2" s="1"/>
  <c r="BM8" i="2"/>
  <c r="BO8" i="2" s="1"/>
  <c r="BM58" i="2"/>
  <c r="BM76" i="2"/>
  <c r="BO76" i="2" s="1"/>
  <c r="BO77" i="2" s="1"/>
  <c r="BM18" i="2"/>
  <c r="BO18" i="2" s="1"/>
  <c r="BM34" i="2" s="1"/>
  <c r="BM42" i="2"/>
  <c r="BO42" i="2" s="1"/>
  <c r="EM34" i="2"/>
  <c r="BB2" i="2"/>
  <c r="AL2" i="2"/>
  <c r="EM30" i="2"/>
  <c r="AT2" i="2"/>
  <c r="EM32" i="2"/>
  <c r="M23" i="2"/>
  <c r="L34" i="3" s="1"/>
  <c r="CK90" i="2"/>
  <c r="CM90" i="2" s="1"/>
  <c r="CM91" i="2" s="1"/>
  <c r="CK83" i="2"/>
  <c r="CM83" i="2" s="1"/>
  <c r="CI58" i="2"/>
  <c r="CE93" i="2"/>
  <c r="BL70" i="2"/>
  <c r="BK72" i="2"/>
  <c r="BT70" i="2"/>
  <c r="BK93" i="2"/>
  <c r="BI78" i="2"/>
  <c r="BU35" i="2" l="1"/>
  <c r="BL85" i="2"/>
  <c r="BK87" i="2" s="1"/>
  <c r="DK15" i="2"/>
  <c r="DG17" i="2"/>
  <c r="DF17" i="2"/>
  <c r="DG15" i="2"/>
  <c r="DF15" i="2"/>
  <c r="CY15" i="2"/>
  <c r="A18" i="2" s="1"/>
  <c r="B18" i="2" s="1"/>
  <c r="L11" i="3" s="1"/>
  <c r="CY20" i="2"/>
  <c r="A27" i="2" s="1"/>
  <c r="B27" i="2" s="1"/>
  <c r="L16" i="3" s="1"/>
  <c r="DG12" i="2"/>
  <c r="DG19" i="2"/>
  <c r="DF19" i="2"/>
  <c r="DK20" i="2"/>
  <c r="DF12" i="2"/>
  <c r="BF81" i="2"/>
  <c r="BG81" i="2" s="1"/>
  <c r="DF11" i="2"/>
  <c r="CY17" i="2"/>
  <c r="A24" i="2" s="1"/>
  <c r="L14" i="3" s="1"/>
  <c r="DG11" i="2"/>
  <c r="DK17" i="2"/>
  <c r="CX17" i="2"/>
  <c r="DF16" i="2"/>
  <c r="DG16" i="2"/>
  <c r="DB17" i="2"/>
  <c r="DF14" i="2"/>
  <c r="DK12" i="2"/>
  <c r="CX12" i="2"/>
  <c r="DG20" i="2"/>
  <c r="DF20" i="2"/>
  <c r="DB12" i="2"/>
  <c r="CY12" i="2"/>
  <c r="A15" i="2" s="1"/>
  <c r="B15" i="2" s="1"/>
  <c r="L9" i="3" s="1"/>
  <c r="DG14" i="2"/>
  <c r="CN68" i="2"/>
  <c r="CM70" i="2" s="1"/>
  <c r="BL53" i="2"/>
  <c r="CD97" i="2"/>
  <c r="CE97" i="2" s="1"/>
  <c r="CC34" i="2"/>
  <c r="BI103" i="2"/>
  <c r="BK103" i="2" s="1"/>
  <c r="CF70" i="2"/>
  <c r="BV81" i="2"/>
  <c r="BW81" i="2" s="1"/>
  <c r="BM36" i="2"/>
  <c r="CG31" i="2"/>
  <c r="CG103" i="2"/>
  <c r="CI103" i="2" s="1"/>
  <c r="BK21" i="2"/>
  <c r="BI101" i="2" s="1"/>
  <c r="BK101" i="2" s="1"/>
  <c r="CC35" i="2"/>
  <c r="BH85" i="2"/>
  <c r="BG87" i="2" s="1"/>
  <c r="BE34" i="2"/>
  <c r="BT85" i="2"/>
  <c r="BS87" i="2" s="1"/>
  <c r="BS9" i="2"/>
  <c r="BU33" i="2"/>
  <c r="BU103" i="2"/>
  <c r="BW103" i="2" s="1"/>
  <c r="CC36" i="2"/>
  <c r="BJ64" i="2"/>
  <c r="BK64" i="2" s="1"/>
  <c r="BQ35" i="2"/>
  <c r="BI31" i="2"/>
  <c r="BG72" i="2"/>
  <c r="BH70" i="2"/>
  <c r="BK90" i="2"/>
  <c r="BI94" i="2" s="1"/>
  <c r="CE55" i="2"/>
  <c r="CC100" i="2" s="1"/>
  <c r="CE100" i="2" s="1"/>
  <c r="CC33" i="2"/>
  <c r="BS55" i="2"/>
  <c r="BY35" i="2"/>
  <c r="BW72" i="2"/>
  <c r="BG9" i="2"/>
  <c r="BK58" i="2"/>
  <c r="BI33" i="2"/>
  <c r="CK102" i="2"/>
  <c r="CM102" i="2" s="1"/>
  <c r="BX53" i="2"/>
  <c r="BW55" i="2"/>
  <c r="CC31" i="2"/>
  <c r="BQ36" i="2"/>
  <c r="BX85" i="2"/>
  <c r="BW87" i="2" s="1"/>
  <c r="BI32" i="2"/>
  <c r="BK29" i="2"/>
  <c r="BM103" i="2"/>
  <c r="BO103" i="2" s="1"/>
  <c r="CG34" i="2"/>
  <c r="BR81" i="2"/>
  <c r="BS81" i="2" s="1"/>
  <c r="BQ106" i="2" s="1"/>
  <c r="BS106" i="2" s="1"/>
  <c r="BU34" i="2"/>
  <c r="BU32" i="2"/>
  <c r="CL79" i="2"/>
  <c r="CM79" i="2" s="1"/>
  <c r="BZ81" i="2"/>
  <c r="CA81" i="2" s="1"/>
  <c r="BY106" i="2" s="1"/>
  <c r="CA106" i="2" s="1"/>
  <c r="CN83" i="2"/>
  <c r="CM85" i="2" s="1"/>
  <c r="CK98" i="2" s="1"/>
  <c r="CM98" i="2" s="1"/>
  <c r="CI9" i="2"/>
  <c r="CK99" i="2"/>
  <c r="CM99" i="2" s="1"/>
  <c r="BO29" i="2"/>
  <c r="BM47" i="2" s="1"/>
  <c r="CE45" i="2"/>
  <c r="CC50" i="2" s="1"/>
  <c r="CE9" i="2"/>
  <c r="CC103" i="2"/>
  <c r="CE103" i="2" s="1"/>
  <c r="BW9" i="2"/>
  <c r="CL95" i="2"/>
  <c r="CM95" i="2" s="1"/>
  <c r="CK100" i="2" s="1"/>
  <c r="CM100" i="2" s="1"/>
  <c r="CE29" i="2"/>
  <c r="CC47" i="2" s="1"/>
  <c r="BR97" i="2"/>
  <c r="BS97" i="2" s="1"/>
  <c r="BJ81" i="2"/>
  <c r="BK81" i="2" s="1"/>
  <c r="BI106" i="2" s="1"/>
  <c r="BK106" i="2" s="1"/>
  <c r="CD64" i="2"/>
  <c r="CE64" i="2" s="1"/>
  <c r="BV64" i="2"/>
  <c r="BV65" i="2" s="1"/>
  <c r="BW65" i="2" s="1"/>
  <c r="BW45" i="2"/>
  <c r="BU50" i="2" s="1"/>
  <c r="BY34" i="2"/>
  <c r="BI36" i="2"/>
  <c r="BK45" i="2"/>
  <c r="BI50" i="2" s="1"/>
  <c r="BG21" i="2"/>
  <c r="BE35" i="2"/>
  <c r="BO45" i="2"/>
  <c r="BM50" i="2" s="1"/>
  <c r="BO9" i="2"/>
  <c r="CA21" i="2"/>
  <c r="BK9" i="2"/>
  <c r="CE21" i="2"/>
  <c r="BW21" i="2"/>
  <c r="BU36" i="2"/>
  <c r="BA28" i="2"/>
  <c r="BC28" i="2" s="1"/>
  <c r="BA44" i="2"/>
  <c r="BC44" i="2" s="1"/>
  <c r="BA3" i="2"/>
  <c r="BC3" i="2" s="1"/>
  <c r="EN34" i="2"/>
  <c r="BA17" i="2"/>
  <c r="BC17" i="2" s="1"/>
  <c r="BA4" i="2"/>
  <c r="BC4" i="2" s="1"/>
  <c r="BA75" i="2"/>
  <c r="BA90" i="2"/>
  <c r="BC90" i="2" s="1"/>
  <c r="BA94" i="2" s="1"/>
  <c r="BA43" i="2"/>
  <c r="BC43" i="2" s="1"/>
  <c r="BA27" i="2"/>
  <c r="BC27" i="2" s="1"/>
  <c r="BA73" i="2"/>
  <c r="BC73" i="2" s="1"/>
  <c r="BC74" i="2" s="1"/>
  <c r="BA78" i="2" s="1"/>
  <c r="BA70" i="2"/>
  <c r="BC70" i="2" s="1"/>
  <c r="BA58" i="2"/>
  <c r="BA6" i="2"/>
  <c r="BC6" i="2" s="1"/>
  <c r="BA8" i="2"/>
  <c r="BC8" i="2" s="1"/>
  <c r="BA15" i="2"/>
  <c r="BC15" i="2" s="1"/>
  <c r="BA88" i="2"/>
  <c r="BA92" i="2"/>
  <c r="BC92" i="2" s="1"/>
  <c r="BC93" i="2" s="1"/>
  <c r="BA85" i="2"/>
  <c r="BC85" i="2" s="1"/>
  <c r="BD85" i="2" s="1"/>
  <c r="BC87" i="2" s="1"/>
  <c r="BA26" i="2"/>
  <c r="BC26" i="2" s="1"/>
  <c r="BA20" i="2"/>
  <c r="BC20" i="2" s="1"/>
  <c r="BA39" i="2"/>
  <c r="BC39" i="2" s="1"/>
  <c r="BA7" i="2"/>
  <c r="BC7" i="2" s="1"/>
  <c r="BA24" i="2"/>
  <c r="BC24" i="2" s="1"/>
  <c r="BA25" i="2"/>
  <c r="BC25" i="2" s="1"/>
  <c r="BA33" i="2" s="1"/>
  <c r="EN51" i="2"/>
  <c r="BA41" i="2"/>
  <c r="BC41" i="2" s="1"/>
  <c r="BA23" i="2"/>
  <c r="BC23" i="2" s="1"/>
  <c r="BA18" i="2"/>
  <c r="BC18" i="2" s="1"/>
  <c r="BA16" i="2"/>
  <c r="BC16" i="2" s="1"/>
  <c r="BA56" i="2"/>
  <c r="BC56" i="2" s="1"/>
  <c r="BC57" i="2" s="1"/>
  <c r="BA61" i="2" s="1"/>
  <c r="BA53" i="2"/>
  <c r="BC53" i="2" s="1"/>
  <c r="BA19" i="2"/>
  <c r="BC19" i="2" s="1"/>
  <c r="BA5" i="2"/>
  <c r="BC5" i="2" s="1"/>
  <c r="BA42" i="2"/>
  <c r="BC42" i="2" s="1"/>
  <c r="BA40" i="2"/>
  <c r="BC40" i="2" s="1"/>
  <c r="BA76" i="2"/>
  <c r="BC76" i="2" s="1"/>
  <c r="BC77" i="2" s="1"/>
  <c r="BA59" i="2"/>
  <c r="BC59" i="2" s="1"/>
  <c r="BC60" i="2" s="1"/>
  <c r="BP53" i="2"/>
  <c r="BO55" i="2"/>
  <c r="BO88" i="2"/>
  <c r="BO89" i="2" s="1"/>
  <c r="BN97" i="2"/>
  <c r="BO97" i="2" s="1"/>
  <c r="CB53" i="2"/>
  <c r="CA55" i="2"/>
  <c r="CB70" i="2"/>
  <c r="CA72" i="2"/>
  <c r="CA45" i="2"/>
  <c r="BY50" i="2" s="1"/>
  <c r="BY33" i="2"/>
  <c r="CA29" i="2"/>
  <c r="BY47" i="2" s="1"/>
  <c r="CA93" i="2"/>
  <c r="BY103" i="2"/>
  <c r="CA103" i="2" s="1"/>
  <c r="CA9" i="2"/>
  <c r="CG36" i="2"/>
  <c r="CI21" i="2"/>
  <c r="AO15" i="2"/>
  <c r="AQ15" i="2" s="1"/>
  <c r="AO20" i="2"/>
  <c r="AQ20" i="2" s="1"/>
  <c r="AO43" i="2"/>
  <c r="AQ43" i="2" s="1"/>
  <c r="AO40" i="2"/>
  <c r="AQ40" i="2" s="1"/>
  <c r="AO42" i="2"/>
  <c r="AQ42" i="2" s="1"/>
  <c r="AO90" i="2"/>
  <c r="AQ90" i="2" s="1"/>
  <c r="AO94" i="2" s="1"/>
  <c r="AO59" i="2"/>
  <c r="AQ59" i="2" s="1"/>
  <c r="AQ60" i="2" s="1"/>
  <c r="AO23" i="2"/>
  <c r="AQ23" i="2" s="1"/>
  <c r="AO88" i="2"/>
  <c r="AO17" i="2"/>
  <c r="AQ17" i="2" s="1"/>
  <c r="AO56" i="2"/>
  <c r="AQ56" i="2" s="1"/>
  <c r="AQ57" i="2" s="1"/>
  <c r="AO61" i="2" s="1"/>
  <c r="AO92" i="2"/>
  <c r="AQ92" i="2" s="1"/>
  <c r="AQ93" i="2" s="1"/>
  <c r="AO3" i="2"/>
  <c r="AQ3" i="2" s="1"/>
  <c r="AO28" i="2"/>
  <c r="AQ28" i="2" s="1"/>
  <c r="AO36" i="2" s="1"/>
  <c r="AO76" i="2"/>
  <c r="AQ76" i="2" s="1"/>
  <c r="AQ77" i="2" s="1"/>
  <c r="AO26" i="2"/>
  <c r="AQ26" i="2" s="1"/>
  <c r="AO6" i="2"/>
  <c r="AQ6" i="2" s="1"/>
  <c r="AO25" i="2"/>
  <c r="AQ25" i="2" s="1"/>
  <c r="AO24" i="2"/>
  <c r="AQ24" i="2" s="1"/>
  <c r="AO58" i="2"/>
  <c r="AO39" i="2"/>
  <c r="AQ39" i="2" s="1"/>
  <c r="AO41" i="2"/>
  <c r="AQ41" i="2" s="1"/>
  <c r="AO44" i="2"/>
  <c r="AQ44" i="2" s="1"/>
  <c r="EN48" i="2"/>
  <c r="FB40" i="2" s="1"/>
  <c r="EN40" i="2" s="1"/>
  <c r="AO8" i="2"/>
  <c r="AQ8" i="2" s="1"/>
  <c r="AO73" i="2"/>
  <c r="AQ73" i="2" s="1"/>
  <c r="AQ74" i="2" s="1"/>
  <c r="AO78" i="2" s="1"/>
  <c r="AO19" i="2"/>
  <c r="AQ19" i="2" s="1"/>
  <c r="AO75" i="2"/>
  <c r="AO18" i="2"/>
  <c r="AQ18" i="2" s="1"/>
  <c r="EN31" i="2"/>
  <c r="AO85" i="2"/>
  <c r="AQ85" i="2" s="1"/>
  <c r="AR85" i="2" s="1"/>
  <c r="AQ87" i="2" s="1"/>
  <c r="AO7" i="2"/>
  <c r="AQ7" i="2" s="1"/>
  <c r="AO27" i="2"/>
  <c r="AQ27" i="2" s="1"/>
  <c r="AO53" i="2"/>
  <c r="AQ53" i="2" s="1"/>
  <c r="AO70" i="2"/>
  <c r="AQ70" i="2" s="1"/>
  <c r="AO5" i="2"/>
  <c r="AQ5" i="2" s="1"/>
  <c r="BG45" i="2"/>
  <c r="BE50" i="2" s="1"/>
  <c r="BF64" i="2"/>
  <c r="BG58" i="2"/>
  <c r="BG55" i="2"/>
  <c r="BH53" i="2"/>
  <c r="BG88" i="2"/>
  <c r="BG89" i="2" s="1"/>
  <c r="BF97" i="2"/>
  <c r="BG97" i="2" s="1"/>
  <c r="Y53" i="2"/>
  <c r="AA53" i="2" s="1"/>
  <c r="Y70" i="2"/>
  <c r="AA70" i="2" s="1"/>
  <c r="Y42" i="2"/>
  <c r="AA42" i="2" s="1"/>
  <c r="Y88" i="2"/>
  <c r="Y59" i="2"/>
  <c r="AA59" i="2" s="1"/>
  <c r="AA60" i="2" s="1"/>
  <c r="Y58" i="2"/>
  <c r="Y28" i="2"/>
  <c r="AA28" i="2" s="1"/>
  <c r="Y75" i="2"/>
  <c r="Y73" i="2"/>
  <c r="AA73" i="2" s="1"/>
  <c r="AA74" i="2" s="1"/>
  <c r="Y78" i="2" s="1"/>
  <c r="Y85" i="2"/>
  <c r="AA85" i="2" s="1"/>
  <c r="AB85" i="2" s="1"/>
  <c r="AA87" i="2" s="1"/>
  <c r="Y76" i="2"/>
  <c r="AA76" i="2" s="1"/>
  <c r="AA77" i="2" s="1"/>
  <c r="Y44" i="2"/>
  <c r="AA44" i="2" s="1"/>
  <c r="Y20" i="2"/>
  <c r="AA20" i="2" s="1"/>
  <c r="EN27" i="2"/>
  <c r="Y8" i="2"/>
  <c r="AA8" i="2" s="1"/>
  <c r="Y6" i="2"/>
  <c r="AA6" i="2" s="1"/>
  <c r="Y56" i="2"/>
  <c r="AA56" i="2" s="1"/>
  <c r="AA57" i="2" s="1"/>
  <c r="Y61" i="2" s="1"/>
  <c r="Y26" i="2"/>
  <c r="AA26" i="2" s="1"/>
  <c r="Y18" i="2"/>
  <c r="AA18" i="2" s="1"/>
  <c r="Y92" i="2"/>
  <c r="AA92" i="2" s="1"/>
  <c r="AA93" i="2" s="1"/>
  <c r="Y43" i="2"/>
  <c r="AA43" i="2" s="1"/>
  <c r="Y27" i="2"/>
  <c r="AA27" i="2" s="1"/>
  <c r="Y90" i="2"/>
  <c r="AA90" i="2" s="1"/>
  <c r="Y94" i="2" s="1"/>
  <c r="EN44" i="2"/>
  <c r="FB36" i="2" s="1"/>
  <c r="EN36" i="2" s="1"/>
  <c r="Y7" i="2"/>
  <c r="AA7" i="2" s="1"/>
  <c r="Y19" i="2"/>
  <c r="AA19" i="2" s="1"/>
  <c r="Y23" i="2"/>
  <c r="AA23" i="2" s="1"/>
  <c r="Y39" i="2"/>
  <c r="AA39" i="2" s="1"/>
  <c r="Y25" i="2"/>
  <c r="AA25" i="2" s="1"/>
  <c r="Y17" i="2"/>
  <c r="AA17" i="2" s="1"/>
  <c r="Y40" i="2"/>
  <c r="AA40" i="2" s="1"/>
  <c r="Y15" i="2"/>
  <c r="AA15" i="2" s="1"/>
  <c r="Y3" i="2"/>
  <c r="AA3" i="2" s="1"/>
  <c r="Y5" i="2"/>
  <c r="AA5" i="2" s="1"/>
  <c r="Y41" i="2"/>
  <c r="AA41" i="2" s="1"/>
  <c r="BG29" i="2"/>
  <c r="BE103" i="2"/>
  <c r="BG103" i="2" s="1"/>
  <c r="BY31" i="2"/>
  <c r="AC7" i="2"/>
  <c r="AE7" i="2" s="1"/>
  <c r="AC26" i="2"/>
  <c r="AE26" i="2" s="1"/>
  <c r="AC44" i="2"/>
  <c r="AE44" i="2" s="1"/>
  <c r="AC28" i="2"/>
  <c r="AE28" i="2" s="1"/>
  <c r="EN28" i="2"/>
  <c r="AC56" i="2"/>
  <c r="AE56" i="2" s="1"/>
  <c r="AE57" i="2" s="1"/>
  <c r="AC61" i="2" s="1"/>
  <c r="AC53" i="2"/>
  <c r="AE53" i="2" s="1"/>
  <c r="AC88" i="2"/>
  <c r="AC3" i="2"/>
  <c r="AE3" i="2" s="1"/>
  <c r="AC6" i="2"/>
  <c r="AE6" i="2" s="1"/>
  <c r="AC42" i="2"/>
  <c r="AE42" i="2" s="1"/>
  <c r="AC70" i="2"/>
  <c r="AE70" i="2" s="1"/>
  <c r="AC92" i="2"/>
  <c r="AE92" i="2" s="1"/>
  <c r="AE93" i="2" s="1"/>
  <c r="AC85" i="2"/>
  <c r="AE85" i="2" s="1"/>
  <c r="AF85" i="2" s="1"/>
  <c r="AE87" i="2" s="1"/>
  <c r="AC43" i="2"/>
  <c r="AE43" i="2" s="1"/>
  <c r="AC18" i="2"/>
  <c r="AE18" i="2" s="1"/>
  <c r="AC8" i="2"/>
  <c r="AE8" i="2" s="1"/>
  <c r="AC20" i="2"/>
  <c r="AE20" i="2" s="1"/>
  <c r="AC39" i="2"/>
  <c r="AE39" i="2" s="1"/>
  <c r="AC90" i="2"/>
  <c r="AE90" i="2" s="1"/>
  <c r="AC94" i="2" s="1"/>
  <c r="AC19" i="2"/>
  <c r="AE19" i="2" s="1"/>
  <c r="AC58" i="2"/>
  <c r="AC76" i="2"/>
  <c r="AE76" i="2" s="1"/>
  <c r="AE77" i="2" s="1"/>
  <c r="AC15" i="2"/>
  <c r="AE15" i="2" s="1"/>
  <c r="AC5" i="2"/>
  <c r="AE5" i="2" s="1"/>
  <c r="AC25" i="2"/>
  <c r="AE25" i="2" s="1"/>
  <c r="AC24" i="2"/>
  <c r="AE24" i="2" s="1"/>
  <c r="AC40" i="2"/>
  <c r="AE40" i="2" s="1"/>
  <c r="EN45" i="2"/>
  <c r="FB37" i="2" s="1"/>
  <c r="EN37" i="2" s="1"/>
  <c r="AC23" i="2"/>
  <c r="AE23" i="2" s="1"/>
  <c r="AC59" i="2"/>
  <c r="AE59" i="2" s="1"/>
  <c r="AE60" i="2" s="1"/>
  <c r="AC73" i="2"/>
  <c r="AE73" i="2" s="1"/>
  <c r="AE74" i="2" s="1"/>
  <c r="AC78" i="2" s="1"/>
  <c r="AC27" i="2"/>
  <c r="AE27" i="2" s="1"/>
  <c r="AC35" i="2" s="1"/>
  <c r="AC75" i="2"/>
  <c r="AC41" i="2"/>
  <c r="AE41" i="2" s="1"/>
  <c r="AC17" i="2"/>
  <c r="AE17" i="2" s="1"/>
  <c r="AC16" i="2"/>
  <c r="AE16" i="2" s="1"/>
  <c r="AC4" i="2"/>
  <c r="AE4" i="2" s="1"/>
  <c r="CK101" i="2"/>
  <c r="CM101" i="2" s="1"/>
  <c r="BQ34" i="2"/>
  <c r="BS29" i="2"/>
  <c r="BV97" i="2"/>
  <c r="BW97" i="2" s="1"/>
  <c r="BW88" i="2"/>
  <c r="BW89" i="2" s="1"/>
  <c r="BU101" i="2" s="1"/>
  <c r="BW101" i="2" s="1"/>
  <c r="BU31" i="2"/>
  <c r="BW29" i="2"/>
  <c r="BU47" i="2" s="1"/>
  <c r="CC32" i="2"/>
  <c r="BI100" i="2"/>
  <c r="BK100" i="2" s="1"/>
  <c r="AS19" i="2"/>
  <c r="AU19" i="2" s="1"/>
  <c r="AS3" i="2"/>
  <c r="AU3" i="2" s="1"/>
  <c r="AS23" i="2"/>
  <c r="AU23" i="2" s="1"/>
  <c r="AS8" i="2"/>
  <c r="AU8" i="2" s="1"/>
  <c r="EN32" i="2"/>
  <c r="EN49" i="2"/>
  <c r="FB41" i="2" s="1"/>
  <c r="EN41" i="2" s="1"/>
  <c r="AS76" i="2"/>
  <c r="AU76" i="2" s="1"/>
  <c r="AU77" i="2" s="1"/>
  <c r="AS70" i="2"/>
  <c r="AU70" i="2" s="1"/>
  <c r="AS18" i="2"/>
  <c r="AU18" i="2" s="1"/>
  <c r="AS26" i="2"/>
  <c r="AU26" i="2" s="1"/>
  <c r="AS7" i="2"/>
  <c r="AU7" i="2" s="1"/>
  <c r="AS39" i="2"/>
  <c r="AU39" i="2" s="1"/>
  <c r="AS85" i="2"/>
  <c r="AU85" i="2" s="1"/>
  <c r="AV85" i="2" s="1"/>
  <c r="AU87" i="2" s="1"/>
  <c r="AS92" i="2"/>
  <c r="AU92" i="2" s="1"/>
  <c r="AU93" i="2" s="1"/>
  <c r="AS59" i="2"/>
  <c r="AU59" i="2" s="1"/>
  <c r="AU60" i="2" s="1"/>
  <c r="AS41" i="2"/>
  <c r="AU41" i="2" s="1"/>
  <c r="AS5" i="2"/>
  <c r="AU5" i="2" s="1"/>
  <c r="AS28" i="2"/>
  <c r="AU28" i="2" s="1"/>
  <c r="AS27" i="2"/>
  <c r="AU27" i="2" s="1"/>
  <c r="AS15" i="2"/>
  <c r="AU15" i="2" s="1"/>
  <c r="AS43" i="2"/>
  <c r="AU43" i="2" s="1"/>
  <c r="AS53" i="2"/>
  <c r="AU53" i="2" s="1"/>
  <c r="AS73" i="2"/>
  <c r="AU73" i="2" s="1"/>
  <c r="AU74" i="2" s="1"/>
  <c r="AS78" i="2" s="1"/>
  <c r="AS56" i="2"/>
  <c r="AU56" i="2" s="1"/>
  <c r="AU57" i="2" s="1"/>
  <c r="AS61" i="2" s="1"/>
  <c r="AS44" i="2"/>
  <c r="AU44" i="2" s="1"/>
  <c r="AS6" i="2"/>
  <c r="AU6" i="2" s="1"/>
  <c r="AS20" i="2"/>
  <c r="AU20" i="2" s="1"/>
  <c r="AS42" i="2"/>
  <c r="AU42" i="2" s="1"/>
  <c r="AS75" i="2"/>
  <c r="AS58" i="2"/>
  <c r="AS90" i="2"/>
  <c r="AU90" i="2" s="1"/>
  <c r="AS88" i="2"/>
  <c r="AS17" i="2"/>
  <c r="AU17" i="2" s="1"/>
  <c r="AS40" i="2"/>
  <c r="AU40" i="2" s="1"/>
  <c r="AS25" i="2"/>
  <c r="AU25" i="2" s="1"/>
  <c r="AK19" i="2"/>
  <c r="AM19" i="2" s="1"/>
  <c r="AK8" i="2"/>
  <c r="AM8" i="2" s="1"/>
  <c r="AK27" i="2"/>
  <c r="AM27" i="2" s="1"/>
  <c r="AK44" i="2"/>
  <c r="AM44" i="2" s="1"/>
  <c r="EN47" i="2"/>
  <c r="FB39" i="2" s="1"/>
  <c r="EN39" i="2" s="1"/>
  <c r="AK18" i="2"/>
  <c r="AM18" i="2" s="1"/>
  <c r="AK59" i="2"/>
  <c r="AM59" i="2" s="1"/>
  <c r="AM60" i="2" s="1"/>
  <c r="AK76" i="2"/>
  <c r="AM76" i="2" s="1"/>
  <c r="AM77" i="2" s="1"/>
  <c r="AK42" i="2"/>
  <c r="AM42" i="2" s="1"/>
  <c r="AK43" i="2"/>
  <c r="AM43" i="2" s="1"/>
  <c r="AK28" i="2"/>
  <c r="AM28" i="2" s="1"/>
  <c r="AK73" i="2"/>
  <c r="AM73" i="2" s="1"/>
  <c r="AM74" i="2" s="1"/>
  <c r="AK78" i="2" s="1"/>
  <c r="AK90" i="2"/>
  <c r="AM90" i="2" s="1"/>
  <c r="AK94" i="2" s="1"/>
  <c r="AK92" i="2"/>
  <c r="AM92" i="2" s="1"/>
  <c r="AM93" i="2" s="1"/>
  <c r="AK88" i="2"/>
  <c r="AK15" i="2"/>
  <c r="AM15" i="2" s="1"/>
  <c r="AK23" i="2"/>
  <c r="AM23" i="2" s="1"/>
  <c r="AK39" i="2"/>
  <c r="AM39" i="2" s="1"/>
  <c r="AK17" i="2"/>
  <c r="AM17" i="2" s="1"/>
  <c r="AK5" i="2"/>
  <c r="AM5" i="2" s="1"/>
  <c r="AK24" i="2"/>
  <c r="AM24" i="2" s="1"/>
  <c r="EN30" i="2"/>
  <c r="AK6" i="2"/>
  <c r="AM6" i="2" s="1"/>
  <c r="AK26" i="2"/>
  <c r="AM26" i="2" s="1"/>
  <c r="AK34" i="2" s="1"/>
  <c r="AK58" i="2"/>
  <c r="AK56" i="2"/>
  <c r="AM56" i="2" s="1"/>
  <c r="AM57" i="2" s="1"/>
  <c r="AK61" i="2" s="1"/>
  <c r="AK20" i="2"/>
  <c r="AM20" i="2" s="1"/>
  <c r="AK7" i="2"/>
  <c r="AM7" i="2" s="1"/>
  <c r="AK53" i="2"/>
  <c r="AM53" i="2" s="1"/>
  <c r="AK85" i="2"/>
  <c r="AM85" i="2" s="1"/>
  <c r="AN85" i="2" s="1"/>
  <c r="AM87" i="2" s="1"/>
  <c r="AK70" i="2"/>
  <c r="AM70" i="2" s="1"/>
  <c r="AK75" i="2"/>
  <c r="AK3" i="2"/>
  <c r="AM3" i="2" s="1"/>
  <c r="AK4" i="2"/>
  <c r="AM4" i="2" s="1"/>
  <c r="AK41" i="2"/>
  <c r="AM41" i="2" s="1"/>
  <c r="AK25" i="2"/>
  <c r="AM25" i="2" s="1"/>
  <c r="AK40" i="2"/>
  <c r="AM40" i="2" s="1"/>
  <c r="AK16" i="2"/>
  <c r="AM16" i="2" s="1"/>
  <c r="BN64" i="2"/>
  <c r="BO58" i="2"/>
  <c r="BP70" i="2"/>
  <c r="BO72" i="2"/>
  <c r="BM31" i="2"/>
  <c r="BO21" i="2"/>
  <c r="BM33" i="2"/>
  <c r="BP85" i="2"/>
  <c r="BO87" i="2" s="1"/>
  <c r="BO75" i="2"/>
  <c r="BN81" i="2"/>
  <c r="BO81" i="2" s="1"/>
  <c r="BM106" i="2" s="1"/>
  <c r="BO106" i="2" s="1"/>
  <c r="CB85" i="2"/>
  <c r="CA87" i="2" s="1"/>
  <c r="BY100" i="2" s="1"/>
  <c r="CA100" i="2" s="1"/>
  <c r="CA88" i="2"/>
  <c r="CA89" i="2" s="1"/>
  <c r="BZ97" i="2"/>
  <c r="CA97" i="2" s="1"/>
  <c r="CA58" i="2"/>
  <c r="BZ64" i="2"/>
  <c r="CI75" i="2"/>
  <c r="CH81" i="2"/>
  <c r="CI81" i="2" s="1"/>
  <c r="CG106" i="2" s="1"/>
  <c r="CI106" i="2" s="1"/>
  <c r="CG35" i="2"/>
  <c r="CI29" i="2"/>
  <c r="CH97" i="2"/>
  <c r="CI97" i="2" s="1"/>
  <c r="CI88" i="2"/>
  <c r="CI89" i="2" s="1"/>
  <c r="CI55" i="2"/>
  <c r="CJ53" i="2"/>
  <c r="CI72" i="2"/>
  <c r="CG100" i="2" s="1"/>
  <c r="CI100" i="2" s="1"/>
  <c r="CJ70" i="2"/>
  <c r="CE75" i="2"/>
  <c r="CC102" i="2" s="1"/>
  <c r="CE102" i="2" s="1"/>
  <c r="CD81" i="2"/>
  <c r="CE81" i="2" s="1"/>
  <c r="CC106" i="2" s="1"/>
  <c r="CE106" i="2" s="1"/>
  <c r="EN33" i="2"/>
  <c r="EN50" i="2"/>
  <c r="AW26" i="2"/>
  <c r="AY26" i="2" s="1"/>
  <c r="AW15" i="2"/>
  <c r="AY15" i="2" s="1"/>
  <c r="AW16" i="2"/>
  <c r="AY16" i="2" s="1"/>
  <c r="AW88" i="2"/>
  <c r="AW90" i="2"/>
  <c r="AY90" i="2" s="1"/>
  <c r="AW94" i="2" s="1"/>
  <c r="AW5" i="2"/>
  <c r="AY5" i="2" s="1"/>
  <c r="AW4" i="2"/>
  <c r="AY4" i="2" s="1"/>
  <c r="AW8" i="2"/>
  <c r="AY8" i="2" s="1"/>
  <c r="AW39" i="2"/>
  <c r="AY39" i="2" s="1"/>
  <c r="AW42" i="2"/>
  <c r="AY42" i="2" s="1"/>
  <c r="AW44" i="2"/>
  <c r="AY44" i="2" s="1"/>
  <c r="AW27" i="2"/>
  <c r="AY27" i="2" s="1"/>
  <c r="AW20" i="2"/>
  <c r="AY20" i="2" s="1"/>
  <c r="AW56" i="2"/>
  <c r="AY56" i="2" s="1"/>
  <c r="AY57" i="2" s="1"/>
  <c r="AW61" i="2" s="1"/>
  <c r="AW59" i="2"/>
  <c r="AY59" i="2" s="1"/>
  <c r="AY60" i="2" s="1"/>
  <c r="AW58" i="2"/>
  <c r="AW75" i="2"/>
  <c r="AW18" i="2"/>
  <c r="AY18" i="2" s="1"/>
  <c r="AW19" i="2"/>
  <c r="AY19" i="2" s="1"/>
  <c r="AW23" i="2"/>
  <c r="AY23" i="2" s="1"/>
  <c r="AW6" i="2"/>
  <c r="AY6" i="2" s="1"/>
  <c r="AW24" i="2"/>
  <c r="AY24" i="2" s="1"/>
  <c r="AW41" i="2"/>
  <c r="AY41" i="2" s="1"/>
  <c r="AW53" i="2"/>
  <c r="AY53" i="2" s="1"/>
  <c r="AW70" i="2"/>
  <c r="AY70" i="2" s="1"/>
  <c r="AW3" i="2"/>
  <c r="AY3" i="2" s="1"/>
  <c r="AW7" i="2"/>
  <c r="AY7" i="2" s="1"/>
  <c r="AW92" i="2"/>
  <c r="AY92" i="2" s="1"/>
  <c r="AY93" i="2" s="1"/>
  <c r="AW40" i="2"/>
  <c r="AY40" i="2" s="1"/>
  <c r="AW43" i="2"/>
  <c r="AY43" i="2" s="1"/>
  <c r="AW76" i="2"/>
  <c r="AY76" i="2" s="1"/>
  <c r="AY77" i="2" s="1"/>
  <c r="AW28" i="2"/>
  <c r="AY28" i="2" s="1"/>
  <c r="AW25" i="2"/>
  <c r="AY25" i="2" s="1"/>
  <c r="AW17" i="2"/>
  <c r="AY17" i="2" s="1"/>
  <c r="AW73" i="2"/>
  <c r="AY73" i="2" s="1"/>
  <c r="AY74" i="2" s="1"/>
  <c r="AW78" i="2" s="1"/>
  <c r="AW85" i="2"/>
  <c r="AY85" i="2" s="1"/>
  <c r="AZ85" i="2" s="1"/>
  <c r="AY87" i="2" s="1"/>
  <c r="BS45" i="2"/>
  <c r="BQ50" i="2" s="1"/>
  <c r="BQ31" i="2"/>
  <c r="BS21" i="2"/>
  <c r="BQ101" i="2" s="1"/>
  <c r="BS101" i="2" s="1"/>
  <c r="BS58" i="2"/>
  <c r="BR64" i="2"/>
  <c r="EN29" i="2"/>
  <c r="AG28" i="2"/>
  <c r="AI28" i="2" s="1"/>
  <c r="AG73" i="2"/>
  <c r="AI73" i="2" s="1"/>
  <c r="AI74" i="2" s="1"/>
  <c r="AG78" i="2" s="1"/>
  <c r="AG90" i="2"/>
  <c r="AI90" i="2" s="1"/>
  <c r="AG94" i="2" s="1"/>
  <c r="AG42" i="2"/>
  <c r="AI42" i="2" s="1"/>
  <c r="EN46" i="2"/>
  <c r="FB38" i="2" s="1"/>
  <c r="EN38" i="2" s="1"/>
  <c r="AG56" i="2"/>
  <c r="AI56" i="2" s="1"/>
  <c r="AI57" i="2" s="1"/>
  <c r="AG61" i="2" s="1"/>
  <c r="AG88" i="2"/>
  <c r="AG27" i="2"/>
  <c r="AI27" i="2" s="1"/>
  <c r="AG85" i="2"/>
  <c r="AI85" i="2" s="1"/>
  <c r="AJ85" i="2" s="1"/>
  <c r="AI87" i="2" s="1"/>
  <c r="AG6" i="2"/>
  <c r="AI6" i="2" s="1"/>
  <c r="AG7" i="2"/>
  <c r="AI7" i="2" s="1"/>
  <c r="AG76" i="2"/>
  <c r="AI76" i="2" s="1"/>
  <c r="AI77" i="2" s="1"/>
  <c r="AG19" i="2"/>
  <c r="AI19" i="2" s="1"/>
  <c r="AG18" i="2"/>
  <c r="AI18" i="2" s="1"/>
  <c r="AG75" i="2"/>
  <c r="AG59" i="2"/>
  <c r="AI59" i="2" s="1"/>
  <c r="AI60" i="2" s="1"/>
  <c r="AG20" i="2"/>
  <c r="AI20" i="2" s="1"/>
  <c r="AG26" i="2"/>
  <c r="AI26" i="2" s="1"/>
  <c r="AG34" i="2" s="1"/>
  <c r="AG70" i="2"/>
  <c r="AI70" i="2" s="1"/>
  <c r="AG53" i="2"/>
  <c r="AI53" i="2" s="1"/>
  <c r="AG44" i="2"/>
  <c r="AI44" i="2" s="1"/>
  <c r="AG58" i="2"/>
  <c r="AG43" i="2"/>
  <c r="AI43" i="2" s="1"/>
  <c r="AG8" i="2"/>
  <c r="AI8" i="2" s="1"/>
  <c r="AG92" i="2"/>
  <c r="AI92" i="2" s="1"/>
  <c r="AI93" i="2" s="1"/>
  <c r="AG39" i="2"/>
  <c r="AI39" i="2" s="1"/>
  <c r="AG5" i="2"/>
  <c r="AI5" i="2" s="1"/>
  <c r="AG25" i="2"/>
  <c r="AI25" i="2" s="1"/>
  <c r="AG24" i="2"/>
  <c r="AI24" i="2" s="1"/>
  <c r="AG4" i="2"/>
  <c r="AI4" i="2" s="1"/>
  <c r="AG40" i="2"/>
  <c r="AI40" i="2" s="1"/>
  <c r="AG15" i="2"/>
  <c r="AI15" i="2" s="1"/>
  <c r="AG23" i="2"/>
  <c r="AI23" i="2" s="1"/>
  <c r="AG3" i="2"/>
  <c r="AI3" i="2" s="1"/>
  <c r="AG41" i="2"/>
  <c r="AI41" i="2" s="1"/>
  <c r="AG17" i="2"/>
  <c r="AI17" i="2" s="1"/>
  <c r="AG16" i="2"/>
  <c r="AI16" i="2" s="1"/>
  <c r="BE33" i="2"/>
  <c r="BQ103" i="2"/>
  <c r="BS103" i="2" s="1"/>
  <c r="BJ65" i="2"/>
  <c r="BK65" i="2" s="1"/>
  <c r="CI64" i="2"/>
  <c r="CH65" i="2"/>
  <c r="CI65" i="2" s="1"/>
  <c r="BE106" i="2"/>
  <c r="BG106" i="2" s="1"/>
  <c r="BU106" i="2"/>
  <c r="BW106" i="2" s="1"/>
  <c r="AS24" i="2" l="1"/>
  <c r="AU24" i="2" s="1"/>
  <c r="AS32" i="2" s="1"/>
  <c r="AS16" i="2"/>
  <c r="AU16" i="2" s="1"/>
  <c r="Y16" i="2"/>
  <c r="AA16" i="2" s="1"/>
  <c r="AO4" i="2"/>
  <c r="AQ4" i="2" s="1"/>
  <c r="AQ9" i="2" s="1"/>
  <c r="CG101" i="2"/>
  <c r="CI101" i="2" s="1"/>
  <c r="AK35" i="2"/>
  <c r="AO16" i="2"/>
  <c r="AQ16" i="2" s="1"/>
  <c r="AS4" i="2"/>
  <c r="AU4" i="2" s="1"/>
  <c r="Y24" i="2"/>
  <c r="AA24" i="2" s="1"/>
  <c r="Y4" i="2"/>
  <c r="AA4" i="2" s="1"/>
  <c r="AO33" i="2"/>
  <c r="BK13" i="2"/>
  <c r="BI48" i="2" s="1"/>
  <c r="BQ100" i="2"/>
  <c r="BS100" i="2" s="1"/>
  <c r="BW13" i="2"/>
  <c r="BU48" i="2" s="1"/>
  <c r="BV47" i="2" s="1"/>
  <c r="BE100" i="2"/>
  <c r="BG100" i="2" s="1"/>
  <c r="BG13" i="2"/>
  <c r="BE48" i="2" s="1"/>
  <c r="CD65" i="2"/>
  <c r="CE65" i="2" s="1"/>
  <c r="BG37" i="2"/>
  <c r="BE49" i="2" s="1"/>
  <c r="BS37" i="2"/>
  <c r="BQ104" i="2" s="1"/>
  <c r="BS104" i="2" s="1"/>
  <c r="CI13" i="2"/>
  <c r="CG48" i="2" s="1"/>
  <c r="CE13" i="2"/>
  <c r="CC48" i="2" s="1"/>
  <c r="CD47" i="2" s="1"/>
  <c r="BK37" i="2"/>
  <c r="BI104" i="2" s="1"/>
  <c r="BK104" i="2" s="1"/>
  <c r="BI102" i="2"/>
  <c r="BK102" i="2" s="1"/>
  <c r="CE37" i="2"/>
  <c r="CC49" i="2" s="1"/>
  <c r="BI47" i="2"/>
  <c r="BM100" i="2"/>
  <c r="BO100" i="2" s="1"/>
  <c r="BU100" i="2"/>
  <c r="BW100" i="2" s="1"/>
  <c r="BW64" i="2"/>
  <c r="BU105" i="2" s="1"/>
  <c r="BW105" i="2" s="1"/>
  <c r="CI37" i="2"/>
  <c r="CG49" i="2" s="1"/>
  <c r="BY102" i="2"/>
  <c r="CA102" i="2" s="1"/>
  <c r="BY101" i="2"/>
  <c r="CA101" i="2" s="1"/>
  <c r="BM101" i="2"/>
  <c r="BO101" i="2" s="1"/>
  <c r="CC101" i="2"/>
  <c r="CE101" i="2" s="1"/>
  <c r="CG105" i="2"/>
  <c r="CI105" i="2" s="1"/>
  <c r="BW37" i="2"/>
  <c r="BU49" i="2" s="1"/>
  <c r="BE101" i="2"/>
  <c r="BG101" i="2" s="1"/>
  <c r="CA13" i="2"/>
  <c r="BY48" i="2" s="1"/>
  <c r="BZ47" i="2" s="1"/>
  <c r="AO35" i="2"/>
  <c r="BM102" i="2"/>
  <c r="BO102" i="2" s="1"/>
  <c r="CC105" i="2"/>
  <c r="CE105" i="2" s="1"/>
  <c r="BI105" i="2"/>
  <c r="BK105" i="2" s="1"/>
  <c r="AW36" i="2"/>
  <c r="AW32" i="2"/>
  <c r="CA37" i="2"/>
  <c r="BY104" i="2" s="1"/>
  <c r="CA104" i="2" s="1"/>
  <c r="Y34" i="2"/>
  <c r="BO37" i="2"/>
  <c r="BM104" i="2" s="1"/>
  <c r="BO104" i="2" s="1"/>
  <c r="AK33" i="2"/>
  <c r="AM45" i="2"/>
  <c r="AK103" i="2" s="1"/>
  <c r="AM103" i="2" s="1"/>
  <c r="ER30" i="2" s="1"/>
  <c r="AS35" i="2"/>
  <c r="AS34" i="2"/>
  <c r="BU102" i="2"/>
  <c r="BW102" i="2" s="1"/>
  <c r="AG31" i="2"/>
  <c r="AI29" i="2"/>
  <c r="AG32" i="2"/>
  <c r="AI72" i="2"/>
  <c r="AJ70" i="2"/>
  <c r="AH81" i="2"/>
  <c r="AI81" i="2" s="1"/>
  <c r="AG106" i="2" s="1"/>
  <c r="AI106" i="2" s="1"/>
  <c r="EU29" i="2" s="1"/>
  <c r="AI75" i="2"/>
  <c r="AI88" i="2"/>
  <c r="AI89" i="2" s="1"/>
  <c r="AH97" i="2"/>
  <c r="AI97" i="2" s="1"/>
  <c r="AG36" i="2"/>
  <c r="BS64" i="2"/>
  <c r="BQ105" i="2" s="1"/>
  <c r="BS105" i="2" s="1"/>
  <c r="BR65" i="2"/>
  <c r="BS65" i="2" s="1"/>
  <c r="BS13" i="2"/>
  <c r="BQ48" i="2" s="1"/>
  <c r="AZ70" i="2"/>
  <c r="AY72" i="2"/>
  <c r="AY75" i="2"/>
  <c r="AX81" i="2"/>
  <c r="AY81" i="2" s="1"/>
  <c r="AW106" i="2" s="1"/>
  <c r="AY106" i="2" s="1"/>
  <c r="EU33" i="2" s="1"/>
  <c r="AY45" i="2"/>
  <c r="AW34" i="2"/>
  <c r="AM75" i="2"/>
  <c r="AL81" i="2"/>
  <c r="AM81" i="2" s="1"/>
  <c r="AK106" i="2" s="1"/>
  <c r="AM106" i="2" s="1"/>
  <c r="EU30" i="2" s="1"/>
  <c r="AM21" i="2"/>
  <c r="AS94" i="2"/>
  <c r="AU75" i="2"/>
  <c r="AT81" i="2"/>
  <c r="AU81" i="2" s="1"/>
  <c r="AS106" i="2" s="1"/>
  <c r="AU106" i="2" s="1"/>
  <c r="EU32" i="2" s="1"/>
  <c r="AU45" i="2"/>
  <c r="AV70" i="2"/>
  <c r="AU72" i="2"/>
  <c r="AU9" i="2"/>
  <c r="BQ47" i="2"/>
  <c r="BQ102" i="2"/>
  <c r="BS102" i="2" s="1"/>
  <c r="AC32" i="2"/>
  <c r="AE45" i="2"/>
  <c r="AE9" i="2"/>
  <c r="AF53" i="2"/>
  <c r="AE55" i="2"/>
  <c r="Y32" i="2"/>
  <c r="AA9" i="2"/>
  <c r="AA45" i="2"/>
  <c r="Y35" i="2"/>
  <c r="AA75" i="2"/>
  <c r="Z81" i="2"/>
  <c r="AA81" i="2" s="1"/>
  <c r="Y106" i="2" s="1"/>
  <c r="AA106" i="2" s="1"/>
  <c r="EU27" i="2" s="1"/>
  <c r="Z64" i="2"/>
  <c r="AA58" i="2"/>
  <c r="Z97" i="2"/>
  <c r="AA97" i="2" s="1"/>
  <c r="AA88" i="2"/>
  <c r="AA89" i="2" s="1"/>
  <c r="AA72" i="2"/>
  <c r="AB70" i="2"/>
  <c r="AQ72" i="2"/>
  <c r="AR70" i="2"/>
  <c r="AQ75" i="2"/>
  <c r="AP81" i="2"/>
  <c r="AQ81" i="2" s="1"/>
  <c r="AO106" i="2" s="1"/>
  <c r="AQ106" i="2" s="1"/>
  <c r="EU31" i="2" s="1"/>
  <c r="AQ58" i="2"/>
  <c r="AP64" i="2"/>
  <c r="AQ88" i="2"/>
  <c r="AQ89" i="2" s="1"/>
  <c r="AP97" i="2"/>
  <c r="AQ97" i="2" s="1"/>
  <c r="AQ21" i="2"/>
  <c r="BC55" i="2"/>
  <c r="BD53" i="2"/>
  <c r="BC29" i="2"/>
  <c r="BA31" i="2"/>
  <c r="BA32" i="2"/>
  <c r="BC45" i="2"/>
  <c r="BA34" i="2"/>
  <c r="BC21" i="2"/>
  <c r="BD70" i="2"/>
  <c r="BC72" i="2"/>
  <c r="BA35" i="2"/>
  <c r="AI9" i="2"/>
  <c r="AI21" i="2"/>
  <c r="AG33" i="2"/>
  <c r="AI45" i="2"/>
  <c r="AI58" i="2"/>
  <c r="AH64" i="2"/>
  <c r="AI55" i="2"/>
  <c r="AJ53" i="2"/>
  <c r="AG35" i="2"/>
  <c r="BQ49" i="2"/>
  <c r="AW33" i="2"/>
  <c r="AY9" i="2"/>
  <c r="AZ53" i="2"/>
  <c r="AY55" i="2"/>
  <c r="AW31" i="2"/>
  <c r="AY29" i="2"/>
  <c r="AY58" i="2"/>
  <c r="AX64" i="2"/>
  <c r="AW35" i="2"/>
  <c r="AX97" i="2"/>
  <c r="AY97" i="2" s="1"/>
  <c r="AY88" i="2"/>
  <c r="AY89" i="2" s="1"/>
  <c r="AY21" i="2"/>
  <c r="CG102" i="2"/>
  <c r="CI102" i="2" s="1"/>
  <c r="CG47" i="2"/>
  <c r="CA64" i="2"/>
  <c r="BY105" i="2" s="1"/>
  <c r="CA105" i="2" s="1"/>
  <c r="BZ65" i="2"/>
  <c r="CA65" i="2" s="1"/>
  <c r="BO64" i="2"/>
  <c r="BM105" i="2" s="1"/>
  <c r="BO105" i="2" s="1"/>
  <c r="BN65" i="2"/>
  <c r="BO65" i="2" s="1"/>
  <c r="AM9" i="2"/>
  <c r="AN70" i="2"/>
  <c r="AM72" i="2"/>
  <c r="AM55" i="2"/>
  <c r="AN53" i="2"/>
  <c r="AM58" i="2"/>
  <c r="AL64" i="2"/>
  <c r="AK32" i="2"/>
  <c r="AK31" i="2"/>
  <c r="AM29" i="2"/>
  <c r="AL97" i="2"/>
  <c r="AM97" i="2" s="1"/>
  <c r="AM88" i="2"/>
  <c r="AM89" i="2" s="1"/>
  <c r="AK36" i="2"/>
  <c r="AS33" i="2"/>
  <c r="AU88" i="2"/>
  <c r="AU89" i="2" s="1"/>
  <c r="AT97" i="2"/>
  <c r="AU97" i="2" s="1"/>
  <c r="AU58" i="2"/>
  <c r="AT64" i="2"/>
  <c r="AU55" i="2"/>
  <c r="AV53" i="2"/>
  <c r="AU21" i="2"/>
  <c r="AS36" i="2"/>
  <c r="AS31" i="2"/>
  <c r="AU29" i="2"/>
  <c r="AE75" i="2"/>
  <c r="AD81" i="2"/>
  <c r="AE81" i="2" s="1"/>
  <c r="AC106" i="2" s="1"/>
  <c r="AE106" i="2" s="1"/>
  <c r="EU28" i="2" s="1"/>
  <c r="AE29" i="2"/>
  <c r="AC31" i="2"/>
  <c r="AC33" i="2"/>
  <c r="AE21" i="2"/>
  <c r="AE58" i="2"/>
  <c r="AD64" i="2"/>
  <c r="AF70" i="2"/>
  <c r="AE72" i="2"/>
  <c r="AE88" i="2"/>
  <c r="AE89" i="2" s="1"/>
  <c r="AD97" i="2"/>
  <c r="AE97" i="2" s="1"/>
  <c r="AC36" i="2"/>
  <c r="AC34" i="2"/>
  <c r="BE47" i="2"/>
  <c r="BE102" i="2"/>
  <c r="BG102" i="2" s="1"/>
  <c r="AA21" i="2"/>
  <c r="Y33" i="2"/>
  <c r="Y31" i="2"/>
  <c r="AA29" i="2"/>
  <c r="Y36" i="2"/>
  <c r="AA55" i="2"/>
  <c r="AB53" i="2"/>
  <c r="BG64" i="2"/>
  <c r="BE105" i="2" s="1"/>
  <c r="BG105" i="2" s="1"/>
  <c r="BF65" i="2"/>
  <c r="BG65" i="2" s="1"/>
  <c r="AQ55" i="2"/>
  <c r="AR53" i="2"/>
  <c r="AQ45" i="2"/>
  <c r="AO32" i="2"/>
  <c r="AO34" i="2"/>
  <c r="AO31" i="2"/>
  <c r="AQ29" i="2"/>
  <c r="BB97" i="2"/>
  <c r="BC97" i="2" s="1"/>
  <c r="BC88" i="2"/>
  <c r="BC89" i="2" s="1"/>
  <c r="BC58" i="2"/>
  <c r="BB64" i="2"/>
  <c r="BC75" i="2"/>
  <c r="BB81" i="2"/>
  <c r="BC81" i="2" s="1"/>
  <c r="BA106" i="2" s="1"/>
  <c r="BC106" i="2" s="1"/>
  <c r="EU34" i="2" s="1"/>
  <c r="BC9" i="2"/>
  <c r="BA36" i="2"/>
  <c r="BO13" i="2"/>
  <c r="BM48" i="2" s="1"/>
  <c r="BN47" i="2" s="1"/>
  <c r="BI49" i="2"/>
  <c r="BE104" i="2" l="1"/>
  <c r="BG104" i="2" s="1"/>
  <c r="BJ47" i="2"/>
  <c r="BF47" i="2"/>
  <c r="CC104" i="2"/>
  <c r="CE104" i="2" s="1"/>
  <c r="BU104" i="2"/>
  <c r="BW104" i="2" s="1"/>
  <c r="CH47" i="2"/>
  <c r="BM49" i="2"/>
  <c r="CG104" i="2"/>
  <c r="CI104" i="2" s="1"/>
  <c r="BY49" i="2"/>
  <c r="BR47" i="2"/>
  <c r="AK50" i="2"/>
  <c r="ER47" i="2" s="1"/>
  <c r="FF39" i="2" s="1"/>
  <c r="ER39" i="2" s="1"/>
  <c r="AQ37" i="2"/>
  <c r="AO49" i="2" s="1"/>
  <c r="ES48" i="2" s="1"/>
  <c r="FG40" i="2" s="1"/>
  <c r="ES40" i="2" s="1"/>
  <c r="BB65" i="2"/>
  <c r="BC65" i="2" s="1"/>
  <c r="BC64" i="2"/>
  <c r="BA105" i="2" s="1"/>
  <c r="BC105" i="2" s="1"/>
  <c r="ET34" i="2" s="1"/>
  <c r="AO47" i="2"/>
  <c r="AO102" i="2"/>
  <c r="AQ102" i="2" s="1"/>
  <c r="EQ31" i="2" s="1"/>
  <c r="AO50" i="2"/>
  <c r="ER48" i="2" s="1"/>
  <c r="FF40" i="2" s="1"/>
  <c r="ER40" i="2" s="1"/>
  <c r="AO103" i="2"/>
  <c r="AQ103" i="2" s="1"/>
  <c r="ER31" i="2" s="1"/>
  <c r="Y102" i="2"/>
  <c r="AA102" i="2" s="1"/>
  <c r="EQ27" i="2" s="1"/>
  <c r="Y47" i="2"/>
  <c r="AD65" i="2"/>
  <c r="AE65" i="2" s="1"/>
  <c r="AE64" i="2"/>
  <c r="AC105" i="2" s="1"/>
  <c r="AE105" i="2" s="1"/>
  <c r="ET28" i="2" s="1"/>
  <c r="EP45" i="2"/>
  <c r="FD37" i="2" s="1"/>
  <c r="EP37" i="2" s="1"/>
  <c r="AC101" i="2"/>
  <c r="AE101" i="2" s="1"/>
  <c r="EP28" i="2" s="1"/>
  <c r="AE37" i="2"/>
  <c r="AS47" i="2"/>
  <c r="AS102" i="2"/>
  <c r="AU102" i="2" s="1"/>
  <c r="EQ32" i="2" s="1"/>
  <c r="AU37" i="2"/>
  <c r="AT65" i="2"/>
  <c r="AU65" i="2" s="1"/>
  <c r="AU64" i="2"/>
  <c r="AS105" i="2" s="1"/>
  <c r="AU105" i="2" s="1"/>
  <c r="ET32" i="2" s="1"/>
  <c r="AK47" i="2"/>
  <c r="AK102" i="2"/>
  <c r="AM102" i="2" s="1"/>
  <c r="EQ30" i="2" s="1"/>
  <c r="AY37" i="2"/>
  <c r="AH65" i="2"/>
  <c r="AI65" i="2" s="1"/>
  <c r="AI64" i="2"/>
  <c r="AG105" i="2" s="1"/>
  <c r="AI105" i="2" s="1"/>
  <c r="ET29" i="2" s="1"/>
  <c r="AG103" i="2"/>
  <c r="AI103" i="2" s="1"/>
  <c r="ER29" i="2" s="1"/>
  <c r="AG50" i="2"/>
  <c r="ER46" i="2" s="1"/>
  <c r="FF38" i="2" s="1"/>
  <c r="ER38" i="2" s="1"/>
  <c r="AG101" i="2"/>
  <c r="AI101" i="2" s="1"/>
  <c r="EP29" i="2" s="1"/>
  <c r="EP46" i="2"/>
  <c r="FD38" i="2" s="1"/>
  <c r="EP38" i="2" s="1"/>
  <c r="BA47" i="2"/>
  <c r="BA102" i="2"/>
  <c r="BC102" i="2" s="1"/>
  <c r="EQ34" i="2" s="1"/>
  <c r="AO101" i="2"/>
  <c r="AQ101" i="2" s="1"/>
  <c r="EP31" i="2" s="1"/>
  <c r="EP48" i="2"/>
  <c r="FD40" i="2" s="1"/>
  <c r="EP40" i="2" s="1"/>
  <c r="AP65" i="2"/>
  <c r="AQ65" i="2" s="1"/>
  <c r="AQ64" i="2"/>
  <c r="AO105" i="2" s="1"/>
  <c r="AQ105" i="2" s="1"/>
  <c r="ET31" i="2" s="1"/>
  <c r="EO44" i="2"/>
  <c r="FC36" i="2" s="1"/>
  <c r="Y100" i="2"/>
  <c r="AA100" i="2" s="1"/>
  <c r="EO27" i="2" s="1"/>
  <c r="AB13" i="2"/>
  <c r="AA13" i="2" s="1"/>
  <c r="Y48" i="2" s="1"/>
  <c r="EV44" i="2" s="1"/>
  <c r="EO45" i="2"/>
  <c r="FC37" i="2" s="1"/>
  <c r="AC100" i="2"/>
  <c r="AE100" i="2" s="1"/>
  <c r="EO28" i="2" s="1"/>
  <c r="AF13" i="2"/>
  <c r="AE13" i="2" s="1"/>
  <c r="AC48" i="2" s="1"/>
  <c r="EV45" i="2" s="1"/>
  <c r="AS50" i="2"/>
  <c r="ER49" i="2" s="1"/>
  <c r="FF41" i="2" s="1"/>
  <c r="ER41" i="2" s="1"/>
  <c r="AS103" i="2"/>
  <c r="AU103" i="2" s="1"/>
  <c r="ER32" i="2" s="1"/>
  <c r="EP47" i="2"/>
  <c r="FD39" i="2" s="1"/>
  <c r="EP39" i="2" s="1"/>
  <c r="AK101" i="2"/>
  <c r="AM101" i="2" s="1"/>
  <c r="EP30" i="2" s="1"/>
  <c r="AW103" i="2"/>
  <c r="AY103" i="2" s="1"/>
  <c r="ER33" i="2" s="1"/>
  <c r="AW50" i="2"/>
  <c r="ER50" i="2" s="1"/>
  <c r="AI37" i="2"/>
  <c r="EO51" i="2"/>
  <c r="BA100" i="2"/>
  <c r="BC100" i="2" s="1"/>
  <c r="EO34" i="2" s="1"/>
  <c r="AA37" i="2"/>
  <c r="Y101" i="2"/>
  <c r="AA101" i="2" s="1"/>
  <c r="EP27" i="2" s="1"/>
  <c r="EP44" i="2"/>
  <c r="FD36" i="2" s="1"/>
  <c r="EP36" i="2" s="1"/>
  <c r="AC102" i="2"/>
  <c r="AE102" i="2" s="1"/>
  <c r="EQ28" i="2" s="1"/>
  <c r="AC47" i="2"/>
  <c r="AS101" i="2"/>
  <c r="AU101" i="2" s="1"/>
  <c r="EP32" i="2" s="1"/>
  <c r="EP49" i="2"/>
  <c r="FD41" i="2" s="1"/>
  <c r="EP41" i="2" s="1"/>
  <c r="AM37" i="2"/>
  <c r="AL65" i="2"/>
  <c r="AM65" i="2" s="1"/>
  <c r="AM64" i="2"/>
  <c r="AK105" i="2" s="1"/>
  <c r="AM105" i="2" s="1"/>
  <c r="ET30" i="2" s="1"/>
  <c r="EO47" i="2"/>
  <c r="FC39" i="2" s="1"/>
  <c r="AN13" i="2"/>
  <c r="AM13" i="2" s="1"/>
  <c r="AK48" i="2" s="1"/>
  <c r="EV47" i="2" s="1"/>
  <c r="AK100" i="2"/>
  <c r="AM100" i="2" s="1"/>
  <c r="EO30" i="2" s="1"/>
  <c r="FB30" i="2" s="1"/>
  <c r="EV30" i="2" s="1"/>
  <c r="EP50" i="2"/>
  <c r="AW101" i="2"/>
  <c r="AY101" i="2" s="1"/>
  <c r="EP33" i="2" s="1"/>
  <c r="AX65" i="2"/>
  <c r="AY65" i="2" s="1"/>
  <c r="AY64" i="2"/>
  <c r="AW105" i="2" s="1"/>
  <c r="AY105" i="2" s="1"/>
  <c r="ET33" i="2" s="1"/>
  <c r="AW47" i="2"/>
  <c r="AW102" i="2"/>
  <c r="AY102" i="2" s="1"/>
  <c r="EQ33" i="2" s="1"/>
  <c r="EO50" i="2"/>
  <c r="AZ13" i="2"/>
  <c r="AY13" i="2" s="1"/>
  <c r="AW48" i="2" s="1"/>
  <c r="EV50" i="2" s="1"/>
  <c r="AW100" i="2"/>
  <c r="AY100" i="2" s="1"/>
  <c r="EO33" i="2" s="1"/>
  <c r="AJ13" i="2"/>
  <c r="AI13" i="2" s="1"/>
  <c r="AG48" i="2" s="1"/>
  <c r="EV46" i="2" s="1"/>
  <c r="EO46" i="2"/>
  <c r="FC38" i="2" s="1"/>
  <c r="AG100" i="2"/>
  <c r="AI100" i="2" s="1"/>
  <c r="EO29" i="2" s="1"/>
  <c r="BC13" i="2"/>
  <c r="BA48" i="2" s="1"/>
  <c r="EV51" i="2" s="1"/>
  <c r="BA101" i="2"/>
  <c r="BC101" i="2" s="1"/>
  <c r="EP34" i="2" s="1"/>
  <c r="EP51" i="2"/>
  <c r="BA50" i="2"/>
  <c r="ER51" i="2" s="1"/>
  <c r="BA103" i="2"/>
  <c r="BC103" i="2" s="1"/>
  <c r="ER34" i="2" s="1"/>
  <c r="BC37" i="2"/>
  <c r="EO48" i="2"/>
  <c r="FC40" i="2" s="1"/>
  <c r="AR13" i="2"/>
  <c r="AQ13" i="2" s="1"/>
  <c r="AO48" i="2" s="1"/>
  <c r="EV48" i="2" s="1"/>
  <c r="AO100" i="2"/>
  <c r="AQ100" i="2" s="1"/>
  <c r="EO31" i="2" s="1"/>
  <c r="AA64" i="2"/>
  <c r="Y105" i="2" s="1"/>
  <c r="AA105" i="2" s="1"/>
  <c r="ET27" i="2" s="1"/>
  <c r="Z65" i="2"/>
  <c r="AA65" i="2" s="1"/>
  <c r="Y103" i="2"/>
  <c r="AA103" i="2" s="1"/>
  <c r="ER27" i="2" s="1"/>
  <c r="Y50" i="2"/>
  <c r="ER44" i="2" s="1"/>
  <c r="FF36" i="2" s="1"/>
  <c r="ER36" i="2" s="1"/>
  <c r="AC103" i="2"/>
  <c r="AE103" i="2" s="1"/>
  <c r="ER28" i="2" s="1"/>
  <c r="AC50" i="2"/>
  <c r="ER45" i="2" s="1"/>
  <c r="FF37" i="2" s="1"/>
  <c r="ER37" i="2" s="1"/>
  <c r="EO49" i="2"/>
  <c r="FC41" i="2" s="1"/>
  <c r="AV13" i="2"/>
  <c r="AU13" i="2" s="1"/>
  <c r="AS48" i="2" s="1"/>
  <c r="EV49" i="2" s="1"/>
  <c r="AS100" i="2"/>
  <c r="AU100" i="2" s="1"/>
  <c r="EO32" i="2" s="1"/>
  <c r="AG102" i="2"/>
  <c r="AI102" i="2" s="1"/>
  <c r="EQ29" i="2" s="1"/>
  <c r="AG47" i="2"/>
  <c r="FB28" i="2" l="1"/>
  <c r="EV28" i="2" s="1"/>
  <c r="FB32" i="2"/>
  <c r="EV32" i="2" s="1"/>
  <c r="FB29" i="2"/>
  <c r="EV29" i="2" s="1"/>
  <c r="FB31" i="2"/>
  <c r="EV31" i="2" s="1"/>
  <c r="AO104" i="2"/>
  <c r="AQ104" i="2" s="1"/>
  <c r="ES31" i="2" s="1"/>
  <c r="EO41" i="2"/>
  <c r="FI41" i="2"/>
  <c r="FI39" i="2"/>
  <c r="EO39" i="2"/>
  <c r="EO36" i="2"/>
  <c r="FI36" i="2"/>
  <c r="FI40" i="2"/>
  <c r="EO40" i="2"/>
  <c r="FI38" i="2"/>
  <c r="EO38" i="2"/>
  <c r="EO37" i="2"/>
  <c r="FI37" i="2"/>
  <c r="FB33" i="2"/>
  <c r="EV33" i="2" s="1"/>
  <c r="FB27" i="2"/>
  <c r="EV27" i="2" s="1"/>
  <c r="EQ46" i="2"/>
  <c r="FE38" i="2" s="1"/>
  <c r="AH47" i="2"/>
  <c r="EY46" i="2" s="1"/>
  <c r="BA49" i="2"/>
  <c r="ES51" i="2" s="1"/>
  <c r="BA104" i="2"/>
  <c r="BC104" i="2" s="1"/>
  <c r="ES34" i="2" s="1"/>
  <c r="FD33" i="2"/>
  <c r="EX33" i="2" s="1"/>
  <c r="AD47" i="2"/>
  <c r="EY45" i="2" s="1"/>
  <c r="EQ45" i="2"/>
  <c r="FE37" i="2" s="1"/>
  <c r="EQ37" i="2" s="1"/>
  <c r="Y104" i="2"/>
  <c r="AA104" i="2" s="1"/>
  <c r="ES27" i="2" s="1"/>
  <c r="Y49" i="2"/>
  <c r="ES44" i="2" s="1"/>
  <c r="FG36" i="2" s="1"/>
  <c r="ES36" i="2" s="1"/>
  <c r="AW49" i="2"/>
  <c r="ES50" i="2" s="1"/>
  <c r="AW104" i="2"/>
  <c r="AY104" i="2" s="1"/>
  <c r="ES33" i="2" s="1"/>
  <c r="AL47" i="2"/>
  <c r="EY47" i="2" s="1"/>
  <c r="EQ47" i="2"/>
  <c r="FE39" i="2" s="1"/>
  <c r="EQ39" i="2" s="1"/>
  <c r="AC104" i="2"/>
  <c r="AE104" i="2" s="1"/>
  <c r="ES28" i="2" s="1"/>
  <c r="AC49" i="2"/>
  <c r="ES45" i="2" s="1"/>
  <c r="FG37" i="2" s="1"/>
  <c r="ES37" i="2" s="1"/>
  <c r="EQ44" i="2"/>
  <c r="FE36" i="2" s="1"/>
  <c r="EQ36" i="2" s="1"/>
  <c r="Z47" i="2"/>
  <c r="EY44" i="2" s="1"/>
  <c r="EQ50" i="2"/>
  <c r="AX47" i="2"/>
  <c r="EY50" i="2" s="1"/>
  <c r="AK104" i="2"/>
  <c r="AM104" i="2" s="1"/>
  <c r="ES30" i="2" s="1"/>
  <c r="AK49" i="2"/>
  <c r="ES47" i="2" s="1"/>
  <c r="FG39" i="2" s="1"/>
  <c r="ES39" i="2" s="1"/>
  <c r="FD28" i="2"/>
  <c r="EX28" i="2" s="1"/>
  <c r="FB34" i="2"/>
  <c r="EV34" i="2" s="1"/>
  <c r="AG104" i="2"/>
  <c r="AI104" i="2" s="1"/>
  <c r="ES29" i="2" s="1"/>
  <c r="AG49" i="2"/>
  <c r="ES46" i="2" s="1"/>
  <c r="FG38" i="2" s="1"/>
  <c r="ES38" i="2" s="1"/>
  <c r="BB47" i="2"/>
  <c r="EY51" i="2" s="1"/>
  <c r="EQ51" i="2"/>
  <c r="FD29" i="2"/>
  <c r="EX29" i="2" s="1"/>
  <c r="FD30" i="2"/>
  <c r="EX30" i="2" s="1"/>
  <c r="AS49" i="2"/>
  <c r="ES49" i="2" s="1"/>
  <c r="FG41" i="2" s="1"/>
  <c r="ES41" i="2" s="1"/>
  <c r="AS104" i="2"/>
  <c r="AU104" i="2" s="1"/>
  <c r="AT47" i="2"/>
  <c r="EY49" i="2" s="1"/>
  <c r="EQ49" i="2"/>
  <c r="FE41" i="2" s="1"/>
  <c r="EQ41" i="2" s="1"/>
  <c r="FD27" i="2"/>
  <c r="EX27" i="2" s="1"/>
  <c r="AP47" i="2"/>
  <c r="EY48" i="2" s="1"/>
  <c r="EQ48" i="2"/>
  <c r="FE40" i="2" s="1"/>
  <c r="EQ40" i="2" s="1"/>
  <c r="FD32" i="2" l="1"/>
  <c r="EX32" i="2" s="1"/>
  <c r="FD31" i="2"/>
  <c r="EX31" i="2" s="1"/>
  <c r="FH38" i="2"/>
  <c r="EV38" i="2" s="1"/>
  <c r="EQ38" i="2"/>
  <c r="FH37" i="2"/>
  <c r="EV37" i="2" s="1"/>
  <c r="FH36" i="2"/>
  <c r="EV36" i="2" s="1"/>
  <c r="FH41" i="2"/>
  <c r="EV41" i="2" s="1"/>
  <c r="FH40" i="2"/>
  <c r="EV40" i="2" s="1"/>
  <c r="FH39" i="2"/>
  <c r="EV39" i="2" s="1"/>
  <c r="ES32" i="2"/>
  <c r="AU96" i="2"/>
  <c r="FD34" i="2"/>
  <c r="EX34" i="2" s="1"/>
  <c r="EL34" i="2" l="1"/>
  <c r="EL32" i="2"/>
  <c r="EL29" i="2"/>
  <c r="EL33" i="2"/>
  <c r="EL28" i="2"/>
  <c r="EL27" i="2"/>
  <c r="EL39" i="2"/>
  <c r="EK39" i="2" s="1"/>
  <c r="EN13" i="2" s="1"/>
  <c r="EO13" i="2" s="1"/>
  <c r="EB17" i="2" s="1"/>
  <c r="EL37" i="2"/>
  <c r="EK37" i="2" s="1"/>
  <c r="EL36" i="2"/>
  <c r="EK36" i="2" s="1"/>
  <c r="EL40" i="2"/>
  <c r="EK40" i="2" s="1"/>
  <c r="EL41" i="2"/>
  <c r="EK41" i="2" s="1"/>
  <c r="EL38" i="2"/>
  <c r="EK38" i="2" s="1"/>
  <c r="EL31" i="2"/>
  <c r="EL30" i="2"/>
  <c r="EN12" i="2" l="1"/>
  <c r="EO12" i="2" s="1"/>
  <c r="EB16" i="2" s="1"/>
  <c r="C72" i="3"/>
  <c r="C58" i="3" s="1"/>
  <c r="D72" i="3"/>
  <c r="F72" i="3"/>
  <c r="F58" i="3" s="1"/>
  <c r="H72" i="3"/>
  <c r="H58" i="3" s="1"/>
  <c r="EN14" i="2"/>
  <c r="EO14" i="2" s="1"/>
  <c r="I72" i="3"/>
  <c r="I58" i="3" s="1"/>
  <c r="E72" i="3"/>
  <c r="E58" i="3" s="1"/>
  <c r="C12" i="3" s="1"/>
  <c r="S16" i="5" s="1"/>
  <c r="EN17" i="2"/>
  <c r="EO17" i="2" s="1"/>
  <c r="EN15" i="2"/>
  <c r="EO15" i="2" s="1"/>
  <c r="EN16" i="2"/>
  <c r="EO16" i="2" s="1"/>
  <c r="D79" i="3"/>
  <c r="D65" i="3" s="1"/>
  <c r="I74" i="3"/>
  <c r="I60" i="3" s="1"/>
  <c r="D75" i="3"/>
  <c r="I77" i="3"/>
  <c r="I63" i="3" s="1"/>
  <c r="H79" i="3"/>
  <c r="H65" i="3" s="1"/>
  <c r="F79" i="3"/>
  <c r="F65" i="3" s="1"/>
  <c r="H73" i="3"/>
  <c r="H59" i="3" s="1"/>
  <c r="I78" i="3"/>
  <c r="I64" i="3" s="1"/>
  <c r="D58" i="3"/>
  <c r="E77" i="3"/>
  <c r="E63" i="3" s="1"/>
  <c r="C74" i="3"/>
  <c r="C60" i="3" s="1"/>
  <c r="D76" i="3"/>
  <c r="D78" i="3"/>
  <c r="F76" i="3"/>
  <c r="F62" i="3" s="1"/>
  <c r="H77" i="3"/>
  <c r="H63" i="3" s="1"/>
  <c r="F78" i="3"/>
  <c r="F64" i="3" s="1"/>
  <c r="I79" i="3"/>
  <c r="I65" i="3" s="1"/>
  <c r="C73" i="3"/>
  <c r="C59" i="3" s="1"/>
  <c r="H75" i="3"/>
  <c r="H61" i="3" s="1"/>
  <c r="E73" i="3"/>
  <c r="E59" i="3" s="1"/>
  <c r="F73" i="3"/>
  <c r="F59" i="3" s="1"/>
  <c r="F77" i="3"/>
  <c r="F63" i="3" s="1"/>
  <c r="E76" i="3"/>
  <c r="E62" i="3" s="1"/>
  <c r="H76" i="3"/>
  <c r="H62" i="3" s="1"/>
  <c r="I75" i="3"/>
  <c r="I61" i="3" s="1"/>
  <c r="H78" i="3"/>
  <c r="H64" i="3" s="1"/>
  <c r="I73" i="3"/>
  <c r="I59" i="3" s="1"/>
  <c r="E75" i="3"/>
  <c r="E61" i="3" s="1"/>
  <c r="D77" i="3"/>
  <c r="C76" i="3"/>
  <c r="C62" i="3" s="1"/>
  <c r="C78" i="3"/>
  <c r="C64" i="3" s="1"/>
  <c r="C77" i="3"/>
  <c r="C63" i="3" s="1"/>
  <c r="I76" i="3"/>
  <c r="I62" i="3" s="1"/>
  <c r="C79" i="3"/>
  <c r="C65" i="3" s="1"/>
  <c r="H74" i="3"/>
  <c r="H60" i="3" s="1"/>
  <c r="D73" i="3"/>
  <c r="F75" i="3"/>
  <c r="F61" i="3" s="1"/>
  <c r="E74" i="3"/>
  <c r="E60" i="3" s="1"/>
  <c r="E78" i="3"/>
  <c r="E64" i="3" s="1"/>
  <c r="C75" i="3"/>
  <c r="C61" i="3" s="1"/>
  <c r="E79" i="3"/>
  <c r="E65" i="3" s="1"/>
  <c r="D74" i="3"/>
  <c r="F74" i="3"/>
  <c r="F60" i="3" s="1"/>
  <c r="D12" i="3" l="1"/>
  <c r="V16" i="5" s="1"/>
  <c r="M16" i="5" s="1"/>
  <c r="I12" i="3"/>
  <c r="U16" i="5" s="1"/>
  <c r="L16" i="5" s="1"/>
  <c r="G12" i="3"/>
  <c r="Y16" i="5" s="1"/>
  <c r="P16" i="5" s="1"/>
  <c r="E12" i="3"/>
  <c r="W16" i="5" s="1"/>
  <c r="N16" i="5" s="1"/>
  <c r="F12" i="3"/>
  <c r="Z16" i="5" s="1"/>
  <c r="Q16" i="5" s="1"/>
  <c r="G72" i="3"/>
  <c r="G58" i="3" s="1"/>
  <c r="I19" i="3"/>
  <c r="U23" i="5" s="1"/>
  <c r="L23" i="5" s="1"/>
  <c r="D19" i="3"/>
  <c r="V23" i="5" s="1"/>
  <c r="M23" i="5" s="1"/>
  <c r="H19" i="3"/>
  <c r="X23" i="5" s="1"/>
  <c r="O23" i="5" s="1"/>
  <c r="E19" i="3"/>
  <c r="W23" i="5" s="1"/>
  <c r="N23" i="5" s="1"/>
  <c r="F19" i="3"/>
  <c r="Z23" i="5" s="1"/>
  <c r="Q23" i="5" s="1"/>
  <c r="C19" i="3"/>
  <c r="S23" i="5" s="1"/>
  <c r="G19" i="3"/>
  <c r="Y23" i="5" s="1"/>
  <c r="P23" i="5" s="1"/>
  <c r="H18" i="3"/>
  <c r="X22" i="5" s="1"/>
  <c r="O22" i="5" s="1"/>
  <c r="D18" i="3"/>
  <c r="V22" i="5" s="1"/>
  <c r="M22" i="5" s="1"/>
  <c r="E18" i="3"/>
  <c r="W22" i="5" s="1"/>
  <c r="N22" i="5" s="1"/>
  <c r="I18" i="3"/>
  <c r="U22" i="5" s="1"/>
  <c r="L22" i="5" s="1"/>
  <c r="F18" i="3"/>
  <c r="Z22" i="5" s="1"/>
  <c r="Q22" i="5" s="1"/>
  <c r="C18" i="3"/>
  <c r="S22" i="5" s="1"/>
  <c r="G18" i="3"/>
  <c r="Y22" i="5" s="1"/>
  <c r="P22" i="5" s="1"/>
  <c r="D63" i="3"/>
  <c r="G77" i="3"/>
  <c r="G63" i="3" s="1"/>
  <c r="C16" i="3"/>
  <c r="S20" i="5" s="1"/>
  <c r="I16" i="3"/>
  <c r="U20" i="5" s="1"/>
  <c r="L20" i="5" s="1"/>
  <c r="E16" i="3"/>
  <c r="W20" i="5" s="1"/>
  <c r="N20" i="5" s="1"/>
  <c r="F16" i="3"/>
  <c r="Z20" i="5" s="1"/>
  <c r="Q20" i="5" s="1"/>
  <c r="G16" i="3"/>
  <c r="Y20" i="5" s="1"/>
  <c r="P20" i="5" s="1"/>
  <c r="D16" i="3"/>
  <c r="V20" i="5" s="1"/>
  <c r="M20" i="5" s="1"/>
  <c r="G76" i="3"/>
  <c r="G62" i="3" s="1"/>
  <c r="D62" i="3"/>
  <c r="F17" i="3"/>
  <c r="Z21" i="5" s="1"/>
  <c r="Q21" i="5" s="1"/>
  <c r="I17" i="3"/>
  <c r="U21" i="5" s="1"/>
  <c r="L21" i="5" s="1"/>
  <c r="E17" i="3"/>
  <c r="W21" i="5" s="1"/>
  <c r="N21" i="5" s="1"/>
  <c r="H17" i="3"/>
  <c r="X21" i="5" s="1"/>
  <c r="O21" i="5" s="1"/>
  <c r="D17" i="3"/>
  <c r="V21" i="5" s="1"/>
  <c r="M21" i="5" s="1"/>
  <c r="C17" i="3"/>
  <c r="S21" i="5" s="1"/>
  <c r="G17" i="3"/>
  <c r="Y21" i="5" s="1"/>
  <c r="P21" i="5" s="1"/>
  <c r="G75" i="3"/>
  <c r="G61" i="3" s="1"/>
  <c r="D61" i="3"/>
  <c r="D60" i="3"/>
  <c r="G74" i="3"/>
  <c r="G60" i="3" s="1"/>
  <c r="I14" i="3"/>
  <c r="U18" i="5" s="1"/>
  <c r="L18" i="5" s="1"/>
  <c r="F14" i="3"/>
  <c r="Z18" i="5" s="1"/>
  <c r="Q18" i="5" s="1"/>
  <c r="D14" i="3"/>
  <c r="V18" i="5" s="1"/>
  <c r="M18" i="5" s="1"/>
  <c r="G14" i="3"/>
  <c r="Y18" i="5" s="1"/>
  <c r="P18" i="5" s="1"/>
  <c r="C14" i="3"/>
  <c r="S18" i="5" s="1"/>
  <c r="E14" i="3"/>
  <c r="W18" i="5" s="1"/>
  <c r="N18" i="5" s="1"/>
  <c r="G73" i="3"/>
  <c r="G59" i="3" s="1"/>
  <c r="D59" i="3"/>
  <c r="G15" i="3"/>
  <c r="Y19" i="5" s="1"/>
  <c r="P19" i="5" s="1"/>
  <c r="D15" i="3"/>
  <c r="V19" i="5" s="1"/>
  <c r="M19" i="5" s="1"/>
  <c r="H15" i="3"/>
  <c r="X19" i="5" s="1"/>
  <c r="O19" i="5" s="1"/>
  <c r="I15" i="3"/>
  <c r="U19" i="5" s="1"/>
  <c r="L19" i="5" s="1"/>
  <c r="C15" i="3"/>
  <c r="S19" i="5" s="1"/>
  <c r="E15" i="3"/>
  <c r="W19" i="5" s="1"/>
  <c r="N19" i="5" s="1"/>
  <c r="F15" i="3"/>
  <c r="Z19" i="5" s="1"/>
  <c r="Q19" i="5" s="1"/>
  <c r="I13" i="3"/>
  <c r="U17" i="5" s="1"/>
  <c r="L17" i="5" s="1"/>
  <c r="D13" i="3"/>
  <c r="V17" i="5" s="1"/>
  <c r="M17" i="5" s="1"/>
  <c r="G13" i="3"/>
  <c r="Y17" i="5" s="1"/>
  <c r="P17" i="5" s="1"/>
  <c r="F13" i="3"/>
  <c r="Z17" i="5" s="1"/>
  <c r="Q17" i="5" s="1"/>
  <c r="C13" i="3"/>
  <c r="S17" i="5" s="1"/>
  <c r="E13" i="3"/>
  <c r="W17" i="5" s="1"/>
  <c r="N17" i="5" s="1"/>
  <c r="T16" i="5"/>
  <c r="E16" i="5" s="1"/>
  <c r="K23" i="6" s="1"/>
  <c r="C16" i="5"/>
  <c r="F23" i="6" s="1"/>
  <c r="D64" i="3"/>
  <c r="G78" i="3"/>
  <c r="G64" i="3" s="1"/>
  <c r="G79" i="3"/>
  <c r="G65" i="3" s="1"/>
  <c r="H13" i="3" l="1"/>
  <c r="X17" i="5" s="1"/>
  <c r="O17" i="5" s="1"/>
  <c r="K30" i="6" s="1"/>
  <c r="H16" i="3"/>
  <c r="X20" i="5" s="1"/>
  <c r="O20" i="5" s="1"/>
  <c r="H14" i="3"/>
  <c r="X18" i="5" s="1"/>
  <c r="O18" i="5" s="1"/>
  <c r="H12" i="3"/>
  <c r="X16" i="5" s="1"/>
  <c r="O16" i="5" s="1"/>
  <c r="K25" i="6" s="1"/>
  <c r="T17" i="5"/>
  <c r="E17" i="5" s="1"/>
  <c r="K28" i="6" s="1"/>
  <c r="C17" i="5"/>
  <c r="F28" i="6" s="1"/>
  <c r="T19" i="5"/>
  <c r="E19" i="5" s="1"/>
  <c r="C19" i="5"/>
  <c r="C18" i="5"/>
  <c r="T18" i="5"/>
  <c r="E18" i="5" s="1"/>
  <c r="T23" i="5"/>
  <c r="E23" i="5" s="1"/>
  <c r="C23" i="5"/>
  <c r="T21" i="5"/>
  <c r="E21" i="5" s="1"/>
  <c r="C21" i="5"/>
  <c r="C20" i="5"/>
  <c r="T20" i="5"/>
  <c r="E20" i="5" s="1"/>
  <c r="T22" i="5"/>
  <c r="E22" i="5" s="1"/>
  <c r="C22" i="5"/>
</calcChain>
</file>

<file path=xl/sharedStrings.xml><?xml version="1.0" encoding="utf-8"?>
<sst xmlns="http://schemas.openxmlformats.org/spreadsheetml/2006/main" count="5371" uniqueCount="940">
  <si>
    <t>Ne remplir que les cases grisées</t>
  </si>
  <si>
    <t>Mécanisme de jeu</t>
  </si>
  <si>
    <t>Joueurs</t>
  </si>
  <si>
    <t>Licence</t>
  </si>
  <si>
    <t>Stade de l'épreuve</t>
  </si>
  <si>
    <t>Mode de jeux</t>
  </si>
  <si>
    <t>Catégorie</t>
  </si>
  <si>
    <t>Lieu</t>
  </si>
  <si>
    <t>Date</t>
  </si>
  <si>
    <t>3p2</t>
  </si>
  <si>
    <t>4p2</t>
  </si>
  <si>
    <t>5 joueurs eliminatoire</t>
  </si>
  <si>
    <t>Responsable</t>
  </si>
  <si>
    <t>6 joueurs eliminatoire</t>
  </si>
  <si>
    <t>____________________</t>
  </si>
  <si>
    <t>Quota</t>
  </si>
  <si>
    <t>Finale 2 joueurs</t>
  </si>
  <si>
    <t>2f</t>
  </si>
  <si>
    <t>3f</t>
  </si>
  <si>
    <t>4f</t>
  </si>
  <si>
    <t>LIBRE</t>
  </si>
  <si>
    <t>Perdant</t>
  </si>
  <si>
    <t>5f</t>
  </si>
  <si>
    <t>CADRE</t>
  </si>
  <si>
    <t>Vainqueur</t>
  </si>
  <si>
    <t>finale 6 joueurs 2 poules</t>
  </si>
  <si>
    <t>6f</t>
  </si>
  <si>
    <t>BANDE</t>
  </si>
  <si>
    <t>@</t>
  </si>
  <si>
    <t xml:space="preserve"> </t>
  </si>
  <si>
    <t>3 BANDES</t>
  </si>
  <si>
    <t>Eliminatoire 1er tour</t>
  </si>
  <si>
    <t>Ecrire le  numero de licence pour qu'apparaisse le nom et prenom du joueur</t>
  </si>
  <si>
    <t>Eliminatoire 2ème tour</t>
  </si>
  <si>
    <t>Eliminatoire 3ème tour</t>
  </si>
  <si>
    <t>Eliminatoire 4ème tour</t>
  </si>
  <si>
    <t>Finale Oise</t>
  </si>
  <si>
    <t>a</t>
  </si>
  <si>
    <t>b</t>
  </si>
  <si>
    <t>France</t>
  </si>
  <si>
    <t>c</t>
  </si>
  <si>
    <t>NATIONAL 1</t>
  </si>
  <si>
    <t>NATIONAL 2</t>
  </si>
  <si>
    <t>NATIONAL 3</t>
  </si>
  <si>
    <t>REGIONAL 1</t>
  </si>
  <si>
    <t>REGIONAL 2</t>
  </si>
  <si>
    <t>REGIONAL 3</t>
  </si>
  <si>
    <t>REGIONAL 4</t>
  </si>
  <si>
    <t xml:space="preserve">JUNIORS Régionaux </t>
  </si>
  <si>
    <t>4 BILLES</t>
  </si>
  <si>
    <t>libre</t>
  </si>
  <si>
    <t>bande</t>
  </si>
  <si>
    <t>cadre</t>
  </si>
  <si>
    <t>3 bandes</t>
  </si>
  <si>
    <t xml:space="preserve">Scenario tableau </t>
  </si>
  <si>
    <t>Moyenne intermediaire</t>
  </si>
  <si>
    <t>Classement de poule</t>
  </si>
  <si>
    <t>pts</t>
  </si>
  <si>
    <t>3fd</t>
  </si>
  <si>
    <t>3p3</t>
  </si>
  <si>
    <t>3p4</t>
  </si>
  <si>
    <t>caramb 1</t>
  </si>
  <si>
    <t>2 joueurs eliminatoire</t>
  </si>
  <si>
    <t>poule de 3</t>
  </si>
  <si>
    <t>caramb 2</t>
  </si>
  <si>
    <t>2 joueurs Finale</t>
  </si>
  <si>
    <t>p1</t>
  </si>
  <si>
    <t>p2</t>
  </si>
  <si>
    <t>N om</t>
  </si>
  <si>
    <t>rep</t>
  </si>
  <si>
    <t>s</t>
  </si>
  <si>
    <t>moy</t>
  </si>
  <si>
    <t>3m10</t>
  </si>
  <si>
    <t>Pm</t>
  </si>
  <si>
    <t>caramb 3</t>
  </si>
  <si>
    <t>3 joueurs eliminatoire</t>
  </si>
  <si>
    <t>v1</t>
  </si>
  <si>
    <t>caramb 4</t>
  </si>
  <si>
    <t>3 joueurs eliminatoire 2 poules</t>
  </si>
  <si>
    <t>3p1</t>
  </si>
  <si>
    <t>1p1</t>
  </si>
  <si>
    <t>caramb 5</t>
  </si>
  <si>
    <t>3 joueurs eliminatoire 3 poules</t>
  </si>
  <si>
    <t>caramb 6</t>
  </si>
  <si>
    <t>3 joueurs eliminatoire 4 poules</t>
  </si>
  <si>
    <t>v2</t>
  </si>
  <si>
    <t>Total points</t>
  </si>
  <si>
    <t>3 joueurs Finale directe</t>
  </si>
  <si>
    <t>3 joueurs Finale</t>
  </si>
  <si>
    <t>4 joueurs Eliminatoire</t>
  </si>
  <si>
    <t>2p1</t>
  </si>
  <si>
    <t>5 joueurs Eliminatoire 2 poules</t>
  </si>
  <si>
    <t>Vip1</t>
  </si>
  <si>
    <t>Moyenne elim</t>
  </si>
  <si>
    <t>4 joueurs demi finale</t>
  </si>
  <si>
    <t>Vip2</t>
  </si>
  <si>
    <t>4 joueurs finale</t>
  </si>
  <si>
    <t>Vip3</t>
  </si>
  <si>
    <t>reprises 1</t>
  </si>
  <si>
    <t>Vip4</t>
  </si>
  <si>
    <t>reprises 2</t>
  </si>
  <si>
    <t>5 joueurs finale</t>
  </si>
  <si>
    <t>Vip5</t>
  </si>
  <si>
    <t>reprises 3</t>
  </si>
  <si>
    <t>Vip6</t>
  </si>
  <si>
    <t>reprises 4</t>
  </si>
  <si>
    <t>6 joueurs finale 2 poules</t>
  </si>
  <si>
    <t>reprises 5</t>
  </si>
  <si>
    <t>reprises 6</t>
  </si>
  <si>
    <t>total reprises</t>
  </si>
  <si>
    <t>4p1</t>
  </si>
  <si>
    <t>Prol</t>
  </si>
  <si>
    <t>Pts match 1</t>
  </si>
  <si>
    <t>Pts match 2</t>
  </si>
  <si>
    <t>Pts match 3</t>
  </si>
  <si>
    <t>Classement final</t>
  </si>
  <si>
    <t>Pts match 4</t>
  </si>
  <si>
    <t>Pts match 5</t>
  </si>
  <si>
    <t>Pts match 6</t>
  </si>
  <si>
    <t>Tour n°1</t>
  </si>
  <si>
    <t>T 1 poule 1</t>
  </si>
  <si>
    <t>T 2 poule 2</t>
  </si>
  <si>
    <t>Tour5</t>
  </si>
  <si>
    <t>Total pts match</t>
  </si>
  <si>
    <t>Total pts</t>
  </si>
  <si>
    <t>Tour n°2</t>
  </si>
  <si>
    <t>T 2 poule 1</t>
  </si>
  <si>
    <t>T 3 poule 2</t>
  </si>
  <si>
    <t>Tour n°3</t>
  </si>
  <si>
    <t>T 3 poule 1</t>
  </si>
  <si>
    <t>Finale</t>
  </si>
  <si>
    <t>MP1</t>
  </si>
  <si>
    <t>T 1 poule 2</t>
  </si>
  <si>
    <t>Tour n°4</t>
  </si>
  <si>
    <t>MP2</t>
  </si>
  <si>
    <t>MP3</t>
  </si>
  <si>
    <t>MP4</t>
  </si>
  <si>
    <t>MP5</t>
  </si>
  <si>
    <t>Pma</t>
  </si>
  <si>
    <t>pts fin</t>
  </si>
  <si>
    <t>reprises fin</t>
  </si>
  <si>
    <t>Pts match</t>
  </si>
  <si>
    <t>série fin</t>
  </si>
  <si>
    <t>Part</t>
  </si>
  <si>
    <t>MP6</t>
  </si>
  <si>
    <t>Moy Part</t>
  </si>
  <si>
    <t>serie 1</t>
  </si>
  <si>
    <t>serie 2</t>
  </si>
  <si>
    <t>serie 3</t>
  </si>
  <si>
    <t>serie 4</t>
  </si>
  <si>
    <t>serie 5</t>
  </si>
  <si>
    <t>serie 6</t>
  </si>
  <si>
    <t>Serie</t>
  </si>
  <si>
    <t>Pts matc</t>
  </si>
  <si>
    <t>Moyenne</t>
  </si>
  <si>
    <t>Moy part</t>
  </si>
  <si>
    <t>pts 1/4</t>
  </si>
  <si>
    <t>reprises 1/4</t>
  </si>
  <si>
    <t>résultats 1/4</t>
  </si>
  <si>
    <t>série 1/4</t>
  </si>
  <si>
    <t>MP 1/4</t>
  </si>
  <si>
    <t>1/2 finale</t>
  </si>
  <si>
    <t>Quart</t>
  </si>
  <si>
    <t>pts 3/4</t>
  </si>
  <si>
    <t>reprises 3/4</t>
  </si>
  <si>
    <t>résultats 3/4</t>
  </si>
  <si>
    <t>série 3/4</t>
  </si>
  <si>
    <t>MP 3/4</t>
  </si>
  <si>
    <t>5/6 finale</t>
  </si>
  <si>
    <t>pts FIN</t>
  </si>
  <si>
    <t>reprises FIN</t>
  </si>
  <si>
    <t>Pts match  FIN</t>
  </si>
  <si>
    <t>série FIN</t>
  </si>
  <si>
    <t>FINALE</t>
  </si>
  <si>
    <t>Pts fin</t>
  </si>
  <si>
    <t>Pts 3/4</t>
  </si>
  <si>
    <t>Feuille de résultats</t>
  </si>
  <si>
    <t>Stade de l'épreuve:</t>
  </si>
  <si>
    <t>Mode de jeux:</t>
  </si>
  <si>
    <t>Lieu:</t>
  </si>
  <si>
    <t>Date:</t>
  </si>
  <si>
    <t>CLASS</t>
  </si>
  <si>
    <t>NOM</t>
  </si>
  <si>
    <t>Pts</t>
  </si>
  <si>
    <t>Rep</t>
  </si>
  <si>
    <t>Série</t>
  </si>
  <si>
    <t>FEDERATION FRANCAISE DE BILLARD</t>
  </si>
  <si>
    <t>CHAMPIONNATS INDIVIDUELS</t>
  </si>
  <si>
    <t>C.E.B.                 C.N.O.S.F.                 U.M.B.</t>
  </si>
  <si>
    <t>RESPONSABLE DE LIGUE</t>
  </si>
  <si>
    <t>Finale de l'Oise</t>
  </si>
  <si>
    <t>Mode de Jeu</t>
  </si>
  <si>
    <t>Finale de ligue</t>
  </si>
  <si>
    <t>Lieu de l'épreuve</t>
  </si>
  <si>
    <t>Finale de secteur</t>
  </si>
  <si>
    <t>Classe ment</t>
  </si>
  <si>
    <t>Nom - Prénom</t>
  </si>
  <si>
    <t>N° de licence</t>
  </si>
  <si>
    <t>Caram bole</t>
  </si>
  <si>
    <t>Rep rises</t>
  </si>
  <si>
    <t>M.G.</t>
  </si>
  <si>
    <t>M.P.</t>
  </si>
  <si>
    <t/>
  </si>
  <si>
    <t>Les joueurs déclarés forfaits doivent figurer dans ce cadre à la suite</t>
  </si>
  <si>
    <t>Nom et prénom du responsable de l'épreuve (en capitales)</t>
  </si>
  <si>
    <t xml:space="preserve">Qualité </t>
  </si>
  <si>
    <t>SIGNATURE</t>
  </si>
  <si>
    <t>TRES IMPORTANT</t>
  </si>
  <si>
    <t>Cette feuille, dûment remplie, doit être transmise au Responsable de ligue 48 heures au plus tard après la fin de l'épreuve.</t>
  </si>
  <si>
    <t>Elle doit impérativement être accompagnée du bordereau d'engagement dans la Finale de ligue du joueur qualifié et de son remplaçant.</t>
  </si>
  <si>
    <t xml:space="preserve">ATTENTION : Ne pas omettre d'indiquer le n° de licence de chacun des concurrents même déclarés forfaits </t>
  </si>
  <si>
    <t>C.E.B</t>
  </si>
  <si>
    <t>C.N.O.S.F.</t>
  </si>
  <si>
    <t>U.M.B.</t>
  </si>
  <si>
    <t>FEDERATION   FRANCAISE   DE   BILLARD</t>
  </si>
  <si>
    <t>Secrétariat Fédéral : 19 &amp; 21, Avenue Aristide Briand  -  BP 2202  -  03202 VICHY CEDEX</t>
  </si>
  <si>
    <t>Tél. : 04.70.96.01.01   -   Fax : 04.70.96.01.02</t>
  </si>
  <si>
    <t>BORDEREAU D'ENGAGEMENT</t>
  </si>
  <si>
    <t>Dans la Finale de :</t>
  </si>
  <si>
    <t>La feuille de résultats, dûment remplie, doit être adressée sous 48 heures au Responsable Sportif du Secteur ou le cas échéant au Secrétariat Fédéral, s'il n'y a pas de Finale de Secteur.</t>
  </si>
  <si>
    <t>Cette feuille, dûment remplie, doit être transmise au Secrétariat Fédéral 48 heures au plus tard après la fin de l'épreuve.</t>
  </si>
  <si>
    <t xml:space="preserve">Mode de jeu : </t>
  </si>
  <si>
    <t xml:space="preserve">  Catégorie :  </t>
  </si>
  <si>
    <r>
      <t>qui se disputera le :</t>
    </r>
    <r>
      <rPr>
        <sz val="11"/>
        <color indexed="8"/>
        <rFont val="Arial"/>
        <family val="2"/>
      </rPr>
      <t/>
    </r>
  </si>
  <si>
    <t xml:space="preserve">   à :  </t>
  </si>
  <si>
    <r>
      <t xml:space="preserve">1 ) </t>
    </r>
    <r>
      <rPr>
        <b/>
        <u/>
        <sz val="12"/>
        <color indexed="8"/>
        <rFont val="Arial"/>
        <family val="2"/>
      </rPr>
      <t>NOM &amp; Prénom du 1</t>
    </r>
    <r>
      <rPr>
        <b/>
        <u/>
        <vertAlign val="superscript"/>
        <sz val="12"/>
        <color indexed="8"/>
        <rFont val="Arial"/>
        <family val="2"/>
      </rPr>
      <t>er</t>
    </r>
    <r>
      <rPr>
        <b/>
        <u/>
        <sz val="12"/>
        <color indexed="8"/>
        <rFont val="Arial"/>
        <family val="2"/>
      </rPr>
      <t xml:space="preserve"> joueur</t>
    </r>
    <r>
      <rPr>
        <b/>
        <sz val="12"/>
        <color indexed="8"/>
        <rFont val="Arial"/>
        <family val="2"/>
      </rPr>
      <t xml:space="preserve"> : </t>
    </r>
  </si>
  <si>
    <t xml:space="preserve">  N° Licence :  </t>
  </si>
  <si>
    <r>
      <t xml:space="preserve">Club : </t>
    </r>
    <r>
      <rPr>
        <sz val="11"/>
        <color indexed="8"/>
        <rFont val="Arial"/>
        <family val="2"/>
      </rPr>
      <t/>
    </r>
  </si>
  <si>
    <t xml:space="preserve">  Moyenne Générale :  </t>
  </si>
  <si>
    <t>2 ) NOM &amp; Prénom du remplaçant :</t>
  </si>
  <si>
    <r>
      <t>Club</t>
    </r>
    <r>
      <rPr>
        <b/>
        <sz val="12"/>
        <color indexed="8"/>
        <rFont val="Arial"/>
        <family val="2"/>
      </rPr>
      <t xml:space="preserve"> : </t>
    </r>
    <r>
      <rPr>
        <sz val="11"/>
        <color indexed="8"/>
        <rFont val="Arial"/>
        <family val="2"/>
      </rPr>
      <t/>
    </r>
  </si>
  <si>
    <t>A:</t>
  </si>
  <si>
    <t>Le:</t>
  </si>
  <si>
    <t>Signature du premier joueur engagé :</t>
  </si>
  <si>
    <t>Nom en clair du responsable de l'épreuve :</t>
  </si>
  <si>
    <t>Signature :</t>
  </si>
  <si>
    <t>Signature du joueur remplaçant :</t>
  </si>
  <si>
    <t>013613P</t>
  </si>
  <si>
    <t>017988W</t>
  </si>
  <si>
    <t>020497J</t>
  </si>
  <si>
    <t>020498K</t>
  </si>
  <si>
    <t>020501N</t>
  </si>
  <si>
    <t>020531R</t>
  </si>
  <si>
    <t>020537X</t>
  </si>
  <si>
    <t>020538Y</t>
  </si>
  <si>
    <t>020553N</t>
  </si>
  <si>
    <t>020629L</t>
  </si>
  <si>
    <t>020632O</t>
  </si>
  <si>
    <t>020633P</t>
  </si>
  <si>
    <t>020691V</t>
  </si>
  <si>
    <t>020697B</t>
  </si>
  <si>
    <t>020698C</t>
  </si>
  <si>
    <t>020831F</t>
  </si>
  <si>
    <t>020851Z</t>
  </si>
  <si>
    <t>020853B</t>
  </si>
  <si>
    <t>020858G</t>
  </si>
  <si>
    <t>020886I</t>
  </si>
  <si>
    <t>020976U</t>
  </si>
  <si>
    <t>020981Z</t>
  </si>
  <si>
    <t>020992K</t>
  </si>
  <si>
    <t>021068I</t>
  </si>
  <si>
    <t>021069J</t>
  </si>
  <si>
    <t>021144G</t>
  </si>
  <si>
    <t>021196G</t>
  </si>
  <si>
    <t>021266Y</t>
  </si>
  <si>
    <t>102549F</t>
  </si>
  <si>
    <t>102552I</t>
  </si>
  <si>
    <t>102553J</t>
  </si>
  <si>
    <t>105804K</t>
  </si>
  <si>
    <t>107938M</t>
  </si>
  <si>
    <t>110380K</t>
  </si>
  <si>
    <t>112083X</t>
  </si>
  <si>
    <t>112106U</t>
  </si>
  <si>
    <t>114841Z</t>
  </si>
  <si>
    <t>121224M</t>
  </si>
  <si>
    <t>122848Y</t>
  </si>
  <si>
    <t>123293B</t>
  </si>
  <si>
    <t>123333P</t>
  </si>
  <si>
    <t>125789B</t>
  </si>
  <si>
    <t>125793F</t>
  </si>
  <si>
    <t>129414M</t>
  </si>
  <si>
    <t>132324K</t>
  </si>
  <si>
    <t>134400G</t>
  </si>
  <si>
    <t>134452G</t>
  </si>
  <si>
    <t>134455J</t>
  </si>
  <si>
    <t>135646E</t>
  </si>
  <si>
    <t>137516C</t>
  </si>
  <si>
    <t>137517D</t>
  </si>
  <si>
    <t>137521H</t>
  </si>
  <si>
    <t>137525L</t>
  </si>
  <si>
    <t>137526M</t>
  </si>
  <si>
    <t>137802C</t>
  </si>
  <si>
    <t>138399B</t>
  </si>
  <si>
    <t>140114A</t>
  </si>
  <si>
    <t>140121H</t>
  </si>
  <si>
    <t>140292W</t>
  </si>
  <si>
    <t>140557B</t>
  </si>
  <si>
    <t>142320W</t>
  </si>
  <si>
    <t>142324A</t>
  </si>
  <si>
    <t>142333J</t>
  </si>
  <si>
    <t>142861R</t>
  </si>
  <si>
    <t>142862S</t>
  </si>
  <si>
    <t>142863T</t>
  </si>
  <si>
    <t>143116M</t>
  </si>
  <si>
    <t>143761H</t>
  </si>
  <si>
    <t>144708S</t>
  </si>
  <si>
    <t>144722G</t>
  </si>
  <si>
    <t>144727L</t>
  </si>
  <si>
    <t>144730O</t>
  </si>
  <si>
    <t>145427J</t>
  </si>
  <si>
    <t>146280E</t>
  </si>
  <si>
    <t>146418M</t>
  </si>
  <si>
    <t>146494K</t>
  </si>
  <si>
    <t>146922Y</t>
  </si>
  <si>
    <t>147147S</t>
  </si>
  <si>
    <t>147291Z</t>
  </si>
  <si>
    <t>147413G</t>
  </si>
  <si>
    <t>147414H</t>
  </si>
  <si>
    <t>147723T</t>
  </si>
  <si>
    <t>148999F</t>
  </si>
  <si>
    <t>149410C</t>
  </si>
  <si>
    <t>149815S</t>
  </si>
  <si>
    <t>150677E</t>
  </si>
  <si>
    <t>151719M</t>
  </si>
  <si>
    <t>151796W</t>
  </si>
  <si>
    <t>152140V</t>
  </si>
  <si>
    <t>152910G</t>
  </si>
  <si>
    <t>153596C</t>
  </si>
  <si>
    <t>155214L</t>
  </si>
  <si>
    <t>155562P</t>
  </si>
  <si>
    <t>155563Q</t>
  </si>
  <si>
    <t>156704F</t>
  </si>
  <si>
    <t>156823K</t>
  </si>
  <si>
    <t>158140R</t>
  </si>
  <si>
    <t>159833G</t>
  </si>
  <si>
    <t>157672H</t>
  </si>
  <si>
    <t>LIGUE : HAUTS DE FRANCE</t>
  </si>
  <si>
    <t>Remarques éventuelles        -     Nom, prénom et signature du responsable</t>
  </si>
  <si>
    <t>B.C CREVECOEUR</t>
  </si>
  <si>
    <t>A.S BEAUVAIS</t>
  </si>
  <si>
    <t>B.C MONTATAIRE</t>
  </si>
  <si>
    <t>B.C SENLIS</t>
  </si>
  <si>
    <t>B.C GOUVIEUX</t>
  </si>
  <si>
    <t>B.C LIANCOURTOIS</t>
  </si>
  <si>
    <t>B.C MERUVIEN</t>
  </si>
  <si>
    <t>B.C MONTREUIL/BRECHE</t>
  </si>
  <si>
    <t>B.C CHAMBLYSIEN</t>
  </si>
  <si>
    <t>B.C SAINT JUST EN CHAUSSEE</t>
  </si>
  <si>
    <t>U.S VILLERS SAINT PAUL</t>
  </si>
  <si>
    <t>B.C CREPY EN VALOIS</t>
  </si>
  <si>
    <t>Finale Ligue Hauts de France</t>
  </si>
  <si>
    <t>Hauts de France</t>
  </si>
  <si>
    <t>Masters</t>
  </si>
  <si>
    <t>MASTERS</t>
  </si>
  <si>
    <t>JUNIORS (U21)</t>
  </si>
  <si>
    <t>CADETS (U17)</t>
  </si>
  <si>
    <t>MINIMES</t>
  </si>
  <si>
    <t>CADETS Régionaux</t>
  </si>
  <si>
    <t>DAME NATIONAL</t>
  </si>
  <si>
    <t>DAME REGIONAL</t>
  </si>
  <si>
    <t>2 poules  de 4 joueurs Eliminatoire</t>
  </si>
  <si>
    <t xml:space="preserve">2 poules de 3 joueurs eliminatoire </t>
  </si>
  <si>
    <t>1 poule de 3 joueurs eliminatoire</t>
  </si>
  <si>
    <t>1 poule de 2 joueurs eliminatoire</t>
  </si>
  <si>
    <t>1 poule de 4 joueurs Eliminatoire</t>
  </si>
  <si>
    <t>1 poule de 5 joueurs eliminatoire</t>
  </si>
  <si>
    <t>1 poule de 6 joueurs eliminatoire</t>
  </si>
  <si>
    <t>Finale 3 joueurs</t>
  </si>
  <si>
    <t>Finale 4 joueurs</t>
  </si>
  <si>
    <t>Finale 5 joueurs</t>
  </si>
  <si>
    <t>BC SENLIS</t>
  </si>
  <si>
    <t>A S BEAUVAIS</t>
  </si>
  <si>
    <t>102510S</t>
  </si>
  <si>
    <t>123338U</t>
  </si>
  <si>
    <t>145645T</t>
  </si>
  <si>
    <t>148820L</t>
  </si>
  <si>
    <t>153243T</t>
  </si>
  <si>
    <t>153485G</t>
  </si>
  <si>
    <t>156585B</t>
  </si>
  <si>
    <t>157875D</t>
  </si>
  <si>
    <t>158043L</t>
  </si>
  <si>
    <t>158253P</t>
  </si>
  <si>
    <t>158459N</t>
  </si>
  <si>
    <t>158565D</t>
  </si>
  <si>
    <t>158581W</t>
  </si>
  <si>
    <t>159215K</t>
  </si>
  <si>
    <t>159301D</t>
  </si>
  <si>
    <t>160887C</t>
  </si>
  <si>
    <t>161559H</t>
  </si>
  <si>
    <t>162627T</t>
  </si>
  <si>
    <t>162821E</t>
  </si>
  <si>
    <t>162823G</t>
  </si>
  <si>
    <t>162824H</t>
  </si>
  <si>
    <t>163830B</t>
  </si>
  <si>
    <t>164108D</t>
  </si>
  <si>
    <t>165308H</t>
  </si>
  <si>
    <t>165883H</t>
  </si>
  <si>
    <t>165891R</t>
  </si>
  <si>
    <t>166321J</t>
  </si>
  <si>
    <t>166322K</t>
  </si>
  <si>
    <t>166323L</t>
  </si>
  <si>
    <t>166343H</t>
  </si>
  <si>
    <t>S'il n'apparait pas verifier le numero dans l'onglet licenciés ou ecrirvez son nom</t>
  </si>
  <si>
    <t>LICENCE</t>
  </si>
  <si>
    <t>CLUB</t>
  </si>
  <si>
    <t>N° Club</t>
  </si>
  <si>
    <t>1 BANDE</t>
  </si>
  <si>
    <t>159835J</t>
  </si>
  <si>
    <t>168123S</t>
  </si>
  <si>
    <t>107929D</t>
  </si>
  <si>
    <t>167623Z</t>
  </si>
  <si>
    <t>020799Z</t>
  </si>
  <si>
    <t>020877Z</t>
  </si>
  <si>
    <t>139231B</t>
  </si>
  <si>
    <t>145382Q</t>
  </si>
  <si>
    <t>021237V</t>
  </si>
  <si>
    <t>167116Y</t>
  </si>
  <si>
    <t>020552M</t>
  </si>
  <si>
    <t>144710U</t>
  </si>
  <si>
    <t>166940G</t>
  </si>
  <si>
    <t>020749B</t>
  </si>
  <si>
    <t>166552K</t>
  </si>
  <si>
    <t>167128L</t>
  </si>
  <si>
    <t>163299Z</t>
  </si>
  <si>
    <t>153280J</t>
  </si>
  <si>
    <t>156458N</t>
  </si>
  <si>
    <t>020529P</t>
  </si>
  <si>
    <t>123328K</t>
  </si>
  <si>
    <t>105814U</t>
  </si>
  <si>
    <t>107933H</t>
  </si>
  <si>
    <t>020665V</t>
  </si>
  <si>
    <t>BC GOUVIEUX</t>
  </si>
  <si>
    <t>BC CREPY EN VALOIS</t>
  </si>
  <si>
    <t>BCM CHAMBLYSIEN</t>
  </si>
  <si>
    <t>BC CREVECOEUR</t>
  </si>
  <si>
    <t>BC LIANCOURTOIS</t>
  </si>
  <si>
    <t>BC MERUVIEN</t>
  </si>
  <si>
    <t>BC VILLERS St PAUL</t>
  </si>
  <si>
    <t>Moyennes</t>
  </si>
  <si>
    <t>169522N</t>
  </si>
  <si>
    <t>169317Q</t>
  </si>
  <si>
    <t>170890A</t>
  </si>
  <si>
    <t>169366T</t>
  </si>
  <si>
    <t>170289X</t>
  </si>
  <si>
    <t>171180Q</t>
  </si>
  <si>
    <t>170738K</t>
  </si>
  <si>
    <t>171067S</t>
  </si>
  <si>
    <t>013403N</t>
  </si>
  <si>
    <t>170636Z</t>
  </si>
  <si>
    <t>169126H</t>
  </si>
  <si>
    <t>170318D</t>
  </si>
  <si>
    <t>171286F</t>
  </si>
  <si>
    <t>170244Y</t>
  </si>
  <si>
    <t>170245Z</t>
  </si>
  <si>
    <t>168788Q</t>
  </si>
  <si>
    <t>021059Z</t>
  </si>
  <si>
    <t>020494G</t>
  </si>
  <si>
    <t>129419R</t>
  </si>
  <si>
    <r>
      <t xml:space="preserve">Il est indispensable d'enregistrer les résultats sur </t>
    </r>
    <r>
      <rPr>
        <b/>
        <u/>
        <sz val="14"/>
        <color indexed="8"/>
        <rFont val="Arial Narrow"/>
        <family val="2"/>
      </rPr>
      <t>FFBSPORTIF</t>
    </r>
    <r>
      <rPr>
        <sz val="14"/>
        <color indexed="8"/>
        <rFont val="Arial Narrow"/>
        <family val="2"/>
      </rPr>
      <t xml:space="preserve"> en vous aidant du lien ci-dessous</t>
    </r>
  </si>
  <si>
    <t>https://www.telemat.org/FFBI/sif/</t>
  </si>
  <si>
    <t>176443L</t>
  </si>
  <si>
    <t>173575T</t>
  </si>
  <si>
    <t>172575G</t>
  </si>
  <si>
    <t>176040Y</t>
  </si>
  <si>
    <t>176044C</t>
  </si>
  <si>
    <t>176256H</t>
  </si>
  <si>
    <t>112099N</t>
  </si>
  <si>
    <t>173459S</t>
  </si>
  <si>
    <t>175309D</t>
  </si>
  <si>
    <t>176391E</t>
  </si>
  <si>
    <t>125794G</t>
  </si>
  <si>
    <t>173856Z</t>
  </si>
  <si>
    <t>175773H</t>
  </si>
  <si>
    <t>176146N</t>
  </si>
  <si>
    <t>175180N</t>
  </si>
  <si>
    <t>174539R</t>
  </si>
  <si>
    <t>176045D</t>
  </si>
  <si>
    <t>174086Z</t>
  </si>
  <si>
    <t>174494S</t>
  </si>
  <si>
    <t>174255H</t>
  </si>
  <si>
    <t>174013V</t>
  </si>
  <si>
    <t>173639N</t>
  </si>
  <si>
    <t>174449T</t>
  </si>
  <si>
    <t>176147P</t>
  </si>
  <si>
    <t>175987Q</t>
  </si>
  <si>
    <t>122257F</t>
  </si>
  <si>
    <t>177282Y</t>
  </si>
  <si>
    <t>020818S</t>
  </si>
  <si>
    <t>177151F</t>
  </si>
  <si>
    <t>177009B</t>
  </si>
  <si>
    <t>151822Z</t>
  </si>
  <si>
    <t>105529V</t>
  </si>
  <si>
    <t>104115L</t>
  </si>
  <si>
    <t>Joueur</t>
  </si>
  <si>
    <t>Points</t>
  </si>
  <si>
    <t>Reprises</t>
  </si>
  <si>
    <t>Pts Match</t>
  </si>
  <si>
    <t>-</t>
  </si>
  <si>
    <r>
      <t xml:space="preserve">         </t>
    </r>
    <r>
      <rPr>
        <b/>
        <u/>
        <sz val="14"/>
        <color indexed="8"/>
        <rFont val="Arial"/>
        <family val="2"/>
      </rPr>
      <t>Feuille de transmission des résultats techniques</t>
    </r>
  </si>
  <si>
    <t>Directeur de Jeu</t>
  </si>
  <si>
    <t>Le présent bordereau doit être rempli entièrement et lisiblement, puis adressé au Responsable de Ligue immédiatement après l'épreuve et au plus tard dans les 48 heures suivant la compétition. Passé ce délai, les engagements ne seront plus acceptés.</t>
  </si>
  <si>
    <t>Adresse mail du joueur</t>
  </si>
  <si>
    <r>
      <t xml:space="preserve">Le présent bordereau doit être rempli entièrement et lisiblement, puis </t>
    </r>
    <r>
      <rPr>
        <b/>
        <sz val="11"/>
        <color indexed="8"/>
        <rFont val="Arial"/>
        <family val="2"/>
      </rPr>
      <t>adressé au Responsable de Ligue i</t>
    </r>
    <r>
      <rPr>
        <sz val="11"/>
        <color indexed="8"/>
        <rFont val="Arial"/>
        <family val="2"/>
      </rPr>
      <t xml:space="preserve">mmédiatement après l'épreuve et </t>
    </r>
    <r>
      <rPr>
        <b/>
        <u/>
        <sz val="11"/>
        <color indexed="8"/>
        <rFont val="Arial"/>
        <family val="2"/>
      </rPr>
      <t>au plus tard dans les 48 heures</t>
    </r>
    <r>
      <rPr>
        <b/>
        <sz val="11"/>
        <color indexed="8"/>
        <rFont val="Arial"/>
        <family val="2"/>
      </rPr>
      <t xml:space="preserve"> </t>
    </r>
    <r>
      <rPr>
        <sz val="11"/>
        <color indexed="8"/>
        <rFont val="Arial"/>
        <family val="2"/>
      </rPr>
      <t>suivant la compétition. Passé ce délai, les engagements ne seront plus acceptés.</t>
    </r>
  </si>
  <si>
    <r>
      <t xml:space="preserve"> </t>
    </r>
    <r>
      <rPr>
        <b/>
        <i/>
        <u/>
        <sz val="18"/>
        <color indexed="8"/>
        <rFont val="Arial"/>
        <family val="2"/>
      </rPr>
      <t>Attention</t>
    </r>
    <r>
      <rPr>
        <i/>
        <sz val="18"/>
        <color indexed="8"/>
        <rFont val="Arial"/>
        <family val="2"/>
      </rPr>
      <t xml:space="preserve"> :</t>
    </r>
  </si>
  <si>
    <r>
      <t>NB :</t>
    </r>
    <r>
      <rPr>
        <sz val="16"/>
        <color indexed="8"/>
        <rFont val="Arial"/>
        <family val="2"/>
      </rPr>
      <t xml:space="preserve"> </t>
    </r>
    <r>
      <rPr>
        <i/>
        <sz val="16"/>
        <color indexed="8"/>
        <rFont val="Arial"/>
        <family val="2"/>
      </rPr>
      <t>Ne doivent être mentionnés sur cette feuille que les joueurs décidés à poursuivre l'épreuve.</t>
    </r>
  </si>
  <si>
    <r>
      <t xml:space="preserve">Ce bordereau doit être </t>
    </r>
    <r>
      <rPr>
        <sz val="16"/>
        <color indexed="8"/>
        <rFont val="Arial"/>
        <family val="2"/>
      </rPr>
      <t>impérativement accompagné</t>
    </r>
    <r>
      <rPr>
        <b/>
        <sz val="16"/>
        <color indexed="8"/>
        <rFont val="Arial"/>
        <family val="2"/>
      </rPr>
      <t xml:space="preserve"> </t>
    </r>
    <r>
      <rPr>
        <sz val="16"/>
        <color indexed="8"/>
        <rFont val="Arial"/>
        <family val="2"/>
      </rPr>
      <t>de la feuille de résultats de la Finale départementale</t>
    </r>
  </si>
  <si>
    <t>179298P</t>
  </si>
  <si>
    <t>135211L</t>
  </si>
  <si>
    <t>180653M</t>
  </si>
  <si>
    <t>178480A</t>
  </si>
  <si>
    <t>179567G</t>
  </si>
  <si>
    <t>013512S</t>
  </si>
  <si>
    <t>148139W</t>
  </si>
  <si>
    <t>179569J</t>
  </si>
  <si>
    <t>179739T</t>
  </si>
  <si>
    <t>179568H</t>
  </si>
  <si>
    <t>178371G</t>
  </si>
  <si>
    <t>132318E</t>
  </si>
  <si>
    <t>179836Z</t>
  </si>
  <si>
    <t>177011D</t>
  </si>
  <si>
    <t>177012E</t>
  </si>
  <si>
    <t>177560A</t>
  </si>
  <si>
    <t>179107G</t>
  </si>
  <si>
    <t>177010C</t>
  </si>
  <si>
    <t>173871Q</t>
  </si>
  <si>
    <t>BC SAINT JUSTOIS</t>
  </si>
  <si>
    <t>178895B</t>
  </si>
  <si>
    <t>179219D</t>
  </si>
  <si>
    <t>177331B</t>
  </si>
  <si>
    <t>177333D</t>
  </si>
  <si>
    <t>177332C</t>
  </si>
  <si>
    <t>177525M</t>
  </si>
  <si>
    <t>174298E</t>
  </si>
  <si>
    <t>177976C</t>
  </si>
  <si>
    <t>180204Z</t>
  </si>
  <si>
    <t>013119P</t>
  </si>
  <si>
    <t>176974N</t>
  </si>
  <si>
    <t>176973M</t>
  </si>
  <si>
    <t>143057F</t>
  </si>
  <si>
    <t>113840M</t>
  </si>
  <si>
    <t>178243S</t>
  </si>
  <si>
    <t>180531E</t>
  </si>
  <si>
    <t>176975P</t>
  </si>
  <si>
    <t>177280W</t>
  </si>
  <si>
    <t>179145Y</t>
  </si>
  <si>
    <t>106751V</t>
  </si>
  <si>
    <t>181272K</t>
  </si>
  <si>
    <t>181568G</t>
  </si>
  <si>
    <t>020493F</t>
  </si>
  <si>
    <t>181569H</t>
  </si>
  <si>
    <t>169135S</t>
  </si>
  <si>
    <t>182060R</t>
  </si>
  <si>
    <t>181244E</t>
  </si>
  <si>
    <t>178167K</t>
  </si>
  <si>
    <t>114833R</t>
  </si>
  <si>
    <t>132328O</t>
  </si>
  <si>
    <t>183294H</t>
  </si>
  <si>
    <t>181711M</t>
  </si>
  <si>
    <t>3,10 m</t>
  </si>
  <si>
    <t>2,80m</t>
  </si>
  <si>
    <t>Ind</t>
  </si>
  <si>
    <t>BIZET AIME</t>
  </si>
  <si>
    <t>BOUTON GERARD</t>
  </si>
  <si>
    <t>182484C</t>
  </si>
  <si>
    <t>BROUSSAS ALAIN</t>
  </si>
  <si>
    <t>CASTANER ERIC</t>
  </si>
  <si>
    <t>CHAUCHAT JEAN LUC</t>
  </si>
  <si>
    <t>CREDOT GERALD</t>
  </si>
  <si>
    <t>CUNIN ELODIE</t>
  </si>
  <si>
    <t>CUNIN MICKAEL</t>
  </si>
  <si>
    <t>DESCAMPS MICHEL</t>
  </si>
  <si>
    <t>DOUBLET ROLAND</t>
  </si>
  <si>
    <t>FAREZ MICHEL</t>
  </si>
  <si>
    <t>FERRET ANTONY</t>
  </si>
  <si>
    <t>FRANCOIS PASCAL</t>
  </si>
  <si>
    <t>180652L</t>
  </si>
  <si>
    <t>GERARD ETHAN</t>
  </si>
  <si>
    <t>GERARD MICKAEL</t>
  </si>
  <si>
    <t>HERTOUX DIDIER</t>
  </si>
  <si>
    <t>HOURCADE GERARD</t>
  </si>
  <si>
    <t>ISSELIN EMILE</t>
  </si>
  <si>
    <t>LAPERSONNE ALAIN</t>
  </si>
  <si>
    <t>LAROCHE FABIEN</t>
  </si>
  <si>
    <t>LE PLARD YVES</t>
  </si>
  <si>
    <t>LEFEBVRE MOISE</t>
  </si>
  <si>
    <t>MICHEL BERNARD</t>
  </si>
  <si>
    <t>MOUTIN DOMINIQUE</t>
  </si>
  <si>
    <t>OLIVEIRA JOSE</t>
  </si>
  <si>
    <t>PALMIER AUGUSTIN</t>
  </si>
  <si>
    <t>PELLETIER STEEVE</t>
  </si>
  <si>
    <t>POILLY SERGE</t>
  </si>
  <si>
    <t>POIX JEAN FRANCOIS</t>
  </si>
  <si>
    <t>PORQUIER GERARD</t>
  </si>
  <si>
    <t>POUTIER DIDIER</t>
  </si>
  <si>
    <t>SOYEZ REYNALD</t>
  </si>
  <si>
    <t>TROJANI PHILIPPE</t>
  </si>
  <si>
    <t>VASSEUR YANNICK</t>
  </si>
  <si>
    <t>VIART RENE</t>
  </si>
  <si>
    <t>ZANOTTI MICHEL</t>
  </si>
  <si>
    <t>184043X</t>
  </si>
  <si>
    <t>BELLEMERE GERARD</t>
  </si>
  <si>
    <t>BOZON ROBERT</t>
  </si>
  <si>
    <t>CAUDRON PIERRE</t>
  </si>
  <si>
    <t>CHARLES DOMINIQUE</t>
  </si>
  <si>
    <t>185388J</t>
  </si>
  <si>
    <t>CHARLES ISABELLE</t>
  </si>
  <si>
    <t>182156W</t>
  </si>
  <si>
    <t>CHARLES YANN</t>
  </si>
  <si>
    <t>163816L</t>
  </si>
  <si>
    <t>CULLATI FABIEN</t>
  </si>
  <si>
    <t>181271J</t>
  </si>
  <si>
    <t>DAVID MELISSA</t>
  </si>
  <si>
    <t>182236H</t>
  </si>
  <si>
    <t>DE ALEGRIA ANTONIO</t>
  </si>
  <si>
    <t>FARAGUET MICHEL</t>
  </si>
  <si>
    <t>FAURE STEPHANE</t>
  </si>
  <si>
    <t>FELLINE RICCARDO</t>
  </si>
  <si>
    <t>GILLOT CHRISTOPHER</t>
  </si>
  <si>
    <t>172151W</t>
  </si>
  <si>
    <t>GIRAUDON JEAN PIERRE</t>
  </si>
  <si>
    <t>GUERIN LUCAS</t>
  </si>
  <si>
    <t>181381D</t>
  </si>
  <si>
    <t>HOUET CATHERINE</t>
  </si>
  <si>
    <t>181379B</t>
  </si>
  <si>
    <t>HOUET THIERRY</t>
  </si>
  <si>
    <t>JOLIVET JEAN</t>
  </si>
  <si>
    <t>185111H</t>
  </si>
  <si>
    <t>JOST CHRISTIAN</t>
  </si>
  <si>
    <t>LE FRIEC DANIEL</t>
  </si>
  <si>
    <t>LE ROUX MARC</t>
  </si>
  <si>
    <t>LEBOUCHER PASCAL</t>
  </si>
  <si>
    <t>LECHAT STEPHANE</t>
  </si>
  <si>
    <t>LEFEBVRE GERARD</t>
  </si>
  <si>
    <t>179566F</t>
  </si>
  <si>
    <t>LEGRAND ADRIEN</t>
  </si>
  <si>
    <t>LIZEUX CLAISSE PIERRE</t>
  </si>
  <si>
    <t>MALAGU LEO</t>
  </si>
  <si>
    <t>MANCUSO LEO</t>
  </si>
  <si>
    <t>MARTIN DENIS</t>
  </si>
  <si>
    <t>MIGLIASSO JEAN PIERRE</t>
  </si>
  <si>
    <t>MIKLASEWICZ VIVIEN</t>
  </si>
  <si>
    <t>184385T</t>
  </si>
  <si>
    <t>MILANDRI CYRIL</t>
  </si>
  <si>
    <t>MONTI RENATO</t>
  </si>
  <si>
    <t>PAILLART JEAN LUC</t>
  </si>
  <si>
    <t>PAUCELLIER PATRICK</t>
  </si>
  <si>
    <t>147148T</t>
  </si>
  <si>
    <t>PIERRE MICHEL</t>
  </si>
  <si>
    <t>POINSOT CLEMENT</t>
  </si>
  <si>
    <t>POURTOULES GERARD</t>
  </si>
  <si>
    <t>STUM PIERRE</t>
  </si>
  <si>
    <t>TESTE OLIVIER</t>
  </si>
  <si>
    <t>TOLLET MICHEL</t>
  </si>
  <si>
    <t>WALTON ANTHONY</t>
  </si>
  <si>
    <t>182017V</t>
  </si>
  <si>
    <t>WILK SERGE</t>
  </si>
  <si>
    <t>ANSELIN PATRICK</t>
  </si>
  <si>
    <t>BILLY DAVID</t>
  </si>
  <si>
    <t>COUPLET SEBASTIEN</t>
  </si>
  <si>
    <t>COUPLET VALENTIN</t>
  </si>
  <si>
    <t>DENIZART JOSE</t>
  </si>
  <si>
    <t>DUBAIL CHRISTIAN</t>
  </si>
  <si>
    <t>DUVAL RAYMOND</t>
  </si>
  <si>
    <t>FORRET ALAIN</t>
  </si>
  <si>
    <t>GEFFROY FLORENT</t>
  </si>
  <si>
    <t>VERFAILLIE DAMIEN</t>
  </si>
  <si>
    <t>VERFAILLIE MATHIEU</t>
  </si>
  <si>
    <t>WYNHANT ALAIN</t>
  </si>
  <si>
    <t>AJALBERT ALAIN</t>
  </si>
  <si>
    <t>AKNOUCHE DOMINIQUE</t>
  </si>
  <si>
    <t>ALAMOME JEAN LUC</t>
  </si>
  <si>
    <t>182067Z</t>
  </si>
  <si>
    <t>AUBARD ALAIN</t>
  </si>
  <si>
    <t>BARRY BRIGITTE</t>
  </si>
  <si>
    <t>BERTRAND FREDERIC</t>
  </si>
  <si>
    <t>182153S</t>
  </si>
  <si>
    <t>BOICHU DANIEL</t>
  </si>
  <si>
    <t>BOURGOGNE CLAUDE</t>
  </si>
  <si>
    <t>CARRE ALAIN</t>
  </si>
  <si>
    <t>141366 E</t>
  </si>
  <si>
    <t>CASTAGNIE CHRISTIAN</t>
  </si>
  <si>
    <t>CHESNAIS JACQUES</t>
  </si>
  <si>
    <t>183411K</t>
  </si>
  <si>
    <t>CLEUET DANIEL</t>
  </si>
  <si>
    <t>DANIEL ROBERT</t>
  </si>
  <si>
    <t>DE DONCKER RICHARD</t>
  </si>
  <si>
    <t>DEMEULLE GUY</t>
  </si>
  <si>
    <t>182761D</t>
  </si>
  <si>
    <t>DENIS ANDRE</t>
  </si>
  <si>
    <t>DONGUY ERIC</t>
  </si>
  <si>
    <t>DOURGES CHRISTIAN</t>
  </si>
  <si>
    <t>FEZELOT BERNARD</t>
  </si>
  <si>
    <t>FOURNIER JEAN FRANCOIS</t>
  </si>
  <si>
    <t>182068A</t>
  </si>
  <si>
    <t>GREUIN OLIVIER</t>
  </si>
  <si>
    <t>HAGER JAMES</t>
  </si>
  <si>
    <t>183645P</t>
  </si>
  <si>
    <t>HERBERT JEAN SERGE</t>
  </si>
  <si>
    <t>LAFONT CHRISTOPHE</t>
  </si>
  <si>
    <t>LAFONT LUC</t>
  </si>
  <si>
    <t>LAMARQUE YVES</t>
  </si>
  <si>
    <t>LE CERF PHILIPPE</t>
  </si>
  <si>
    <t>LE MAIRE PATRICK</t>
  </si>
  <si>
    <t>LIS MARCEL</t>
  </si>
  <si>
    <t>MARIE DANIEL</t>
  </si>
  <si>
    <t>MASSON DANIEL</t>
  </si>
  <si>
    <t>MAUCHAUFFE PATRICK</t>
  </si>
  <si>
    <t>MOREAU CLAUDE</t>
  </si>
  <si>
    <t>MOUTTE JEAN PIERRE</t>
  </si>
  <si>
    <t>PERPETTE ALAIN</t>
  </si>
  <si>
    <t>PERPETTE SEBASTIEN</t>
  </si>
  <si>
    <t>RASPAIL CHRISTIAN</t>
  </si>
  <si>
    <t>ROBIN YVES</t>
  </si>
  <si>
    <t>SCOHY MICHEL</t>
  </si>
  <si>
    <t>SUARD LIONEL</t>
  </si>
  <si>
    <t>184645B</t>
  </si>
  <si>
    <t>WACHS GILBERT</t>
  </si>
  <si>
    <t>ZALMANOVIER JEAN PIERRE</t>
  </si>
  <si>
    <t>COTTEREAU MICHEL</t>
  </si>
  <si>
    <t>152814 C</t>
  </si>
  <si>
    <t>COURTOIS MICHEL</t>
  </si>
  <si>
    <t>181469Z</t>
  </si>
  <si>
    <t>DELACHAPELLE MOREL JEAN FRANCOIS</t>
  </si>
  <si>
    <t>181471B</t>
  </si>
  <si>
    <t>FOURNET GABRIEL</t>
  </si>
  <si>
    <t>FRIDAULT JACQUES</t>
  </si>
  <si>
    <t>GUERIN DOMINIQUE</t>
  </si>
  <si>
    <t>IDASIAK EUGENE</t>
  </si>
  <si>
    <t>MENGUAL JOACHIM</t>
  </si>
  <si>
    <t>MICHEL GERARD</t>
  </si>
  <si>
    <t>PEREZ GERARD</t>
  </si>
  <si>
    <t>PICART ALAIN</t>
  </si>
  <si>
    <t>PORTIER ROBERT</t>
  </si>
  <si>
    <t>RABINEAU YVES</t>
  </si>
  <si>
    <t>181470A</t>
  </si>
  <si>
    <t>SAMAT CLAUDE</t>
  </si>
  <si>
    <t>181468Y</t>
  </si>
  <si>
    <t>VAAST GERARD</t>
  </si>
  <si>
    <t>VAILLANT CLAUDE</t>
  </si>
  <si>
    <t>VAN WYNENDAELE PIERRE</t>
  </si>
  <si>
    <t>VERMEILLE JEAN MICHEL</t>
  </si>
  <si>
    <t>BARTHONNET DIDIER</t>
  </si>
  <si>
    <t>BEAUJOUR THIERRY</t>
  </si>
  <si>
    <t>BEAUMER DANIEL</t>
  </si>
  <si>
    <t>BICHON BERNARD</t>
  </si>
  <si>
    <t>BIENAIME ERIC</t>
  </si>
  <si>
    <t>BOURESCHE ALAIN</t>
  </si>
  <si>
    <t>CASTANER GEORGES</t>
  </si>
  <si>
    <t>DAVID MICHEL</t>
  </si>
  <si>
    <t>DRIDI PATRICE</t>
  </si>
  <si>
    <t>DURLEWANGER DIDIER</t>
  </si>
  <si>
    <t>183244D</t>
  </si>
  <si>
    <t>GOUFFE JACKY</t>
  </si>
  <si>
    <t>GUILLOTE JOSE</t>
  </si>
  <si>
    <t>HEUDE LUDOVIC</t>
  </si>
  <si>
    <t>HUQUELEUX PATRICK</t>
  </si>
  <si>
    <t>LACHOQUE DANIEL</t>
  </si>
  <si>
    <t>LANGERAERT ALAIN</t>
  </si>
  <si>
    <t>LEGUESCLOU PATRICE</t>
  </si>
  <si>
    <t>LENGAIGNE DANIEL</t>
  </si>
  <si>
    <t>LIEVENS BERNARD</t>
  </si>
  <si>
    <t>RAFFY ALAIN</t>
  </si>
  <si>
    <t>ROUSSEL LOUKA</t>
  </si>
  <si>
    <t>SOYER ROGER</t>
  </si>
  <si>
    <t>URDIALES ANDRE</t>
  </si>
  <si>
    <t>VANDEPUTTE LAURENT</t>
  </si>
  <si>
    <t>ALEXANIAN JOEL</t>
  </si>
  <si>
    <t>BAROUX CHRISTOPHE</t>
  </si>
  <si>
    <t>166737L</t>
  </si>
  <si>
    <t>BECART PAULINE</t>
  </si>
  <si>
    <t>BESSE VIRGINIE</t>
  </si>
  <si>
    <t>BOLAND NOEL</t>
  </si>
  <si>
    <t>COLLARD BRUNO</t>
  </si>
  <si>
    <t>DELAFORGE PASCAL</t>
  </si>
  <si>
    <t>DOURLENS JACQUES</t>
  </si>
  <si>
    <t>FARAND DIDIER</t>
  </si>
  <si>
    <t>FAUCON JEAN LUC</t>
  </si>
  <si>
    <t>GONTARCZYK GUY</t>
  </si>
  <si>
    <t>HENWOOD PHILIPPE</t>
  </si>
  <si>
    <t>KOWALKOWSKI CLAUDE</t>
  </si>
  <si>
    <t>LANGLOIS JEAN PIERRE</t>
  </si>
  <si>
    <t>LAVALLEE DOMINIQUE</t>
  </si>
  <si>
    <t>LETREUILLE PAUL</t>
  </si>
  <si>
    <t>MERCIER GUY</t>
  </si>
  <si>
    <t>POTIER LAURENT</t>
  </si>
  <si>
    <t>164975W</t>
  </si>
  <si>
    <t>POTIER SOPHIE</t>
  </si>
  <si>
    <t>181745Z</t>
  </si>
  <si>
    <t>SERET RENE</t>
  </si>
  <si>
    <t>SMIRO JEAN PIERRE</t>
  </si>
  <si>
    <t>VALADE FREDERIC</t>
  </si>
  <si>
    <t>VINET CLAUDE</t>
  </si>
  <si>
    <t>182059Q</t>
  </si>
  <si>
    <t>ANDRES PIERRE</t>
  </si>
  <si>
    <t>AVOT JOEL</t>
  </si>
  <si>
    <t>AZRIA AARON</t>
  </si>
  <si>
    <t>AZRIA BENJAMIN</t>
  </si>
  <si>
    <t>AZRIA SARAH</t>
  </si>
  <si>
    <t>BARBE CASSANDRA</t>
  </si>
  <si>
    <t>177869L</t>
  </si>
  <si>
    <t>BARBE CLARA</t>
  </si>
  <si>
    <t>BARBE HINATA</t>
  </si>
  <si>
    <t>BARBE LOGAN</t>
  </si>
  <si>
    <t>BARBE PHILIPPE</t>
  </si>
  <si>
    <t>BARTHON PRIAM</t>
  </si>
  <si>
    <t>BARTHON RUBBEN</t>
  </si>
  <si>
    <t>BEGAUD DOMINIQUE</t>
  </si>
  <si>
    <t>175076A</t>
  </si>
  <si>
    <t>BENESSIANO ERIC</t>
  </si>
  <si>
    <t>BOITEL SOPHIE</t>
  </si>
  <si>
    <t>BOUIGES ARMELLE</t>
  </si>
  <si>
    <t>BROCHART CHRISTIAN</t>
  </si>
  <si>
    <t>BROCHET ROBERT</t>
  </si>
  <si>
    <t>CARDOEN PIERRE</t>
  </si>
  <si>
    <t>182448N</t>
  </si>
  <si>
    <t>CARDON SANDRINE</t>
  </si>
  <si>
    <t>CATELOY CLAUDE</t>
  </si>
  <si>
    <t>CLAUX ALAIN</t>
  </si>
  <si>
    <t>COMPERE PAUL</t>
  </si>
  <si>
    <t>179306Y</t>
  </si>
  <si>
    <t>COPEAU THIMOTHE</t>
  </si>
  <si>
    <t>179305 X</t>
  </si>
  <si>
    <t>COPEAU ZOE</t>
  </si>
  <si>
    <t>DE MALET BENOIT</t>
  </si>
  <si>
    <t>DESAINT ETIENNE</t>
  </si>
  <si>
    <t>DESCLAIR GUY</t>
  </si>
  <si>
    <t>182449P</t>
  </si>
  <si>
    <t>DOMINGUES THOMAS</t>
  </si>
  <si>
    <t>DOTAL BERNARD</t>
  </si>
  <si>
    <t>182466H</t>
  </si>
  <si>
    <t>EGOT JOELLE</t>
  </si>
  <si>
    <t>GRASSIN D ALFONSE HENRI</t>
  </si>
  <si>
    <t>183631Z</t>
  </si>
  <si>
    <t>HONLET MARC</t>
  </si>
  <si>
    <t>JOSSELIN WILLIAM</t>
  </si>
  <si>
    <t>LECLERE PAUL</t>
  </si>
  <si>
    <t>LEGULLUCHE GILLES</t>
  </si>
  <si>
    <t>LEROY FABRICE</t>
  </si>
  <si>
    <t>LORGE THIERRY</t>
  </si>
  <si>
    <t>MAGGIAR PASCAL</t>
  </si>
  <si>
    <t>MARCEAU JEROME</t>
  </si>
  <si>
    <t>MASSARD PATRICK</t>
  </si>
  <si>
    <t>MONNIOT NICOLAS</t>
  </si>
  <si>
    <t>MORGAN DE RIVERY CLAIRE</t>
  </si>
  <si>
    <t>NARTUS JEROME</t>
  </si>
  <si>
    <t>PAROUTY CLAIRE</t>
  </si>
  <si>
    <t>PICART LOUIS</t>
  </si>
  <si>
    <t>PICART VICTOR</t>
  </si>
  <si>
    <t>SAUVE OLIVIER</t>
  </si>
  <si>
    <t>SONNTAG GUY</t>
  </si>
  <si>
    <t>VANDENHOLE CHRISTOPHE</t>
  </si>
  <si>
    <t>103413L</t>
  </si>
  <si>
    <t>VERCOUTERE DANIEL</t>
  </si>
  <si>
    <t>ALEXANIAN LOUIS</t>
  </si>
  <si>
    <t>COQUIGNY JEAN JACQUES</t>
  </si>
  <si>
    <t>DOUE MARC</t>
  </si>
  <si>
    <t>DULIN FRANCOIS</t>
  </si>
  <si>
    <t>FOURE MICHEL</t>
  </si>
  <si>
    <t>GROSS XAVIER</t>
  </si>
  <si>
    <t>GUIDOUX ALAIN</t>
  </si>
  <si>
    <t>JEUGNET JAMES</t>
  </si>
  <si>
    <t>LEVISSE RAYMOND</t>
  </si>
  <si>
    <t>RITACCO ANTONIO</t>
  </si>
  <si>
    <t>ALBOUY CLAUDE</t>
  </si>
  <si>
    <t>BARBERIS PHILIPPE</t>
  </si>
  <si>
    <t>CHANTELOUP GHISLAIN</t>
  </si>
  <si>
    <t>CHENAL GERARD</t>
  </si>
  <si>
    <t>CHOJNACKI NODOT ISABELLE</t>
  </si>
  <si>
    <t>DEBRIS PATRICK</t>
  </si>
  <si>
    <t>DEHELLE BERNARD</t>
  </si>
  <si>
    <t>DOBIGNY JEAN PIERRE</t>
  </si>
  <si>
    <t>178187G</t>
  </si>
  <si>
    <t>DOS SANTOS DJEZZAR RAYAN</t>
  </si>
  <si>
    <t>DOYELLE JACQUY</t>
  </si>
  <si>
    <t>FERREIRA MANUEL</t>
  </si>
  <si>
    <t>FORTIN CLAUDE</t>
  </si>
  <si>
    <t>GERONIMI THIERRY</t>
  </si>
  <si>
    <t>GODARD DANIEL</t>
  </si>
  <si>
    <t>GONZALEZ PATRICE</t>
  </si>
  <si>
    <t>GOUX FREDERIC</t>
  </si>
  <si>
    <t>GRAUX CLAUDE</t>
  </si>
  <si>
    <t>HERVIEU DIDIER</t>
  </si>
  <si>
    <t>HIMBLOT FRANCIS</t>
  </si>
  <si>
    <t>LALOT GERARD</t>
  </si>
  <si>
    <t>LARUE AMBRE</t>
  </si>
  <si>
    <t>LECOURT ERIC</t>
  </si>
  <si>
    <t>LOPEZ BRUNO</t>
  </si>
  <si>
    <t>MACAIRE JEAN</t>
  </si>
  <si>
    <t>MARTEL CHRISTIAN</t>
  </si>
  <si>
    <t>MAUGER JEAN PAUL</t>
  </si>
  <si>
    <t>020795V</t>
  </si>
  <si>
    <t>MEURIER JACQUES</t>
  </si>
  <si>
    <t>MONROY GERARD</t>
  </si>
  <si>
    <t>MOSER JEAN</t>
  </si>
  <si>
    <t>MURIOT JEAN PIERRE</t>
  </si>
  <si>
    <t>NAHIRNYJ ALEXI</t>
  </si>
  <si>
    <t>NAHIRNYJ ELENA</t>
  </si>
  <si>
    <t>NAHIRNYJ NICOLAS</t>
  </si>
  <si>
    <t>181604W</t>
  </si>
  <si>
    <t>NIZZI FILIPPO</t>
  </si>
  <si>
    <t>NODOT PASCAL</t>
  </si>
  <si>
    <t>181602T</t>
  </si>
  <si>
    <t>OSWALD PATRICK</t>
  </si>
  <si>
    <t>RECIO SALVADOR</t>
  </si>
  <si>
    <t>REMISE CLAUDE</t>
  </si>
  <si>
    <t>RIGAMONTI GIUSEPPE</t>
  </si>
  <si>
    <t>ROYER JOEL</t>
  </si>
  <si>
    <t>TAILLANDIER CLAUDE</t>
  </si>
  <si>
    <t>VIOLETTE JACQUES</t>
  </si>
  <si>
    <t>WILLIG CLAUDE</t>
  </si>
  <si>
    <t>102525H</t>
  </si>
  <si>
    <t>BLANCHARD THIERRY</t>
  </si>
  <si>
    <t>185677Y</t>
  </si>
  <si>
    <t>BOUSSEMART ALAIN</t>
  </si>
  <si>
    <t>186395D</t>
  </si>
  <si>
    <t>DUTRIAUX VALENTIN</t>
  </si>
  <si>
    <t>141604I</t>
  </si>
  <si>
    <t>GOSGNAK DANIEL</t>
  </si>
  <si>
    <t>186394C</t>
  </si>
  <si>
    <t>LEFEBVRE ALEXIS</t>
  </si>
  <si>
    <t>R2</t>
  </si>
  <si>
    <t>R1</t>
  </si>
  <si>
    <t>N3</t>
  </si>
  <si>
    <t>R3</t>
  </si>
  <si>
    <t>NC</t>
  </si>
  <si>
    <t>N1</t>
  </si>
  <si>
    <t>R4</t>
  </si>
  <si>
    <t>N2</t>
  </si>
  <si>
    <t>020502O</t>
  </si>
  <si>
    <t>PICAUD CHRISTIAN</t>
  </si>
  <si>
    <t>020668Y</t>
  </si>
  <si>
    <t>CARDON CHRISTIAN</t>
  </si>
  <si>
    <t>185649S</t>
  </si>
  <si>
    <t>CASSINI PHILIPPE</t>
  </si>
  <si>
    <t>186032J</t>
  </si>
  <si>
    <t>GARNERET CHRISTOPHE</t>
  </si>
  <si>
    <t>134909V</t>
  </si>
  <si>
    <t>GILLES FABRICE</t>
  </si>
  <si>
    <t>BATON LAURENT</t>
  </si>
  <si>
    <t>MOYENNES AU 13/11/2024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</si>
</sst>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0.000"/>
    <numFmt numFmtId="166" formatCode="0.0000"/>
    <numFmt numFmtId="167" formatCode="[$-F800]dddd\,\ mmmm\ dd\,\ yyyy"/>
    <numFmt numFmtId="168" formatCode="0.000000"/>
    <numFmt numFmtId="169" formatCode="0.0"/>
    <numFmt numFmtId="170" formatCode="0.00000000000"/>
    <numFmt numFmtId="171" formatCode="[$-40C]d\-mmm\-yy;@"/>
  </numFmts>
  <fonts count="75" x14ac:knownFonts="1">
    <font>
      <sz val="10"/>
      <name val="Book Antiqua"/>
    </font>
    <font>
      <sz val="10"/>
      <name val="Arial"/>
      <family val="2"/>
    </font>
    <font>
      <sz val="12"/>
      <name val="Arial"/>
      <family val="2"/>
    </font>
    <font>
      <sz val="11"/>
      <color indexed="8"/>
      <name val="Calibri"/>
      <family val="2"/>
    </font>
    <font>
      <sz val="11"/>
      <color indexed="8"/>
      <name val="Courier New"/>
      <family val="3"/>
    </font>
    <font>
      <sz val="11"/>
      <name val="Courier New"/>
      <family val="3"/>
    </font>
    <font>
      <b/>
      <sz val="14"/>
      <color indexed="8"/>
      <name val="Arial"/>
      <family val="2"/>
    </font>
    <font>
      <b/>
      <sz val="11"/>
      <color indexed="8"/>
      <name val="Arial"/>
      <family val="2"/>
    </font>
    <font>
      <sz val="11"/>
      <color indexed="8"/>
      <name val="Arial"/>
      <family val="2"/>
    </font>
    <font>
      <sz val="14"/>
      <color indexed="8"/>
      <name val="Arial"/>
      <family val="2"/>
    </font>
    <font>
      <b/>
      <sz val="12"/>
      <color indexed="8"/>
      <name val="Arial"/>
      <family val="2"/>
    </font>
    <font>
      <b/>
      <u/>
      <sz val="12"/>
      <color indexed="8"/>
      <name val="Arial"/>
      <family val="2"/>
    </font>
    <font>
      <b/>
      <u/>
      <vertAlign val="superscript"/>
      <sz val="12"/>
      <color indexed="8"/>
      <name val="Arial"/>
      <family val="2"/>
    </font>
    <font>
      <b/>
      <i/>
      <sz val="12"/>
      <color indexed="8"/>
      <name val="Arial"/>
      <family val="2"/>
    </font>
    <font>
      <sz val="12"/>
      <color indexed="8"/>
      <name val="Arial"/>
      <family val="2"/>
    </font>
    <font>
      <b/>
      <u/>
      <sz val="14"/>
      <color indexed="8"/>
      <name val="Arial Narrow"/>
      <family val="2"/>
    </font>
    <font>
      <sz val="14"/>
      <color indexed="8"/>
      <name val="Arial Narrow"/>
      <family val="2"/>
    </font>
    <font>
      <sz val="11"/>
      <color rgb="FFFF0000"/>
      <name val="Courier New"/>
      <family val="3"/>
    </font>
    <font>
      <sz val="11"/>
      <color rgb="FF000000"/>
      <name val="Courier New"/>
      <family val="3"/>
    </font>
    <font>
      <b/>
      <sz val="14"/>
      <color rgb="FF000000"/>
      <name val="Arial"/>
      <family val="2"/>
    </font>
    <font>
      <sz val="11"/>
      <color rgb="FF000000"/>
      <name val="Arial"/>
      <family val="2"/>
    </font>
    <font>
      <b/>
      <u/>
      <sz val="26"/>
      <color rgb="FF000000"/>
      <name val="Arial"/>
      <family val="2"/>
    </font>
    <font>
      <sz val="8"/>
      <color rgb="FF000000"/>
      <name val="Arial"/>
      <family val="2"/>
    </font>
    <font>
      <b/>
      <sz val="18"/>
      <color rgb="FF000000"/>
      <name val="Arial"/>
      <family val="2"/>
    </font>
    <font>
      <b/>
      <sz val="16"/>
      <color rgb="FF000000"/>
      <name val="Arial"/>
      <family val="2"/>
    </font>
    <font>
      <b/>
      <sz val="12"/>
      <color rgb="FF000000"/>
      <name val="Arial"/>
      <family val="2"/>
    </font>
    <font>
      <b/>
      <sz val="2"/>
      <color rgb="FF000000"/>
      <name val="Arial"/>
      <family val="2"/>
    </font>
    <font>
      <b/>
      <sz val="20"/>
      <color rgb="FF000000"/>
      <name val="Arial"/>
      <family val="2"/>
    </font>
    <font>
      <b/>
      <sz val="22"/>
      <color rgb="FF000000"/>
      <name val="Arial"/>
      <family val="2"/>
    </font>
    <font>
      <b/>
      <u/>
      <sz val="12"/>
      <color rgb="FF000000"/>
      <name val="Arial"/>
      <family val="2"/>
    </font>
    <font>
      <b/>
      <sz val="11"/>
      <color rgb="FF000000"/>
      <name val="Arial"/>
      <family val="2"/>
    </font>
    <font>
      <b/>
      <u/>
      <sz val="11"/>
      <color rgb="FF000000"/>
      <name val="Arial"/>
      <family val="2"/>
    </font>
    <font>
      <sz val="14"/>
      <color rgb="FF000000"/>
      <name val="Arial"/>
      <family val="2"/>
    </font>
    <font>
      <i/>
      <sz val="14"/>
      <color rgb="FF000000"/>
      <name val="Arial"/>
      <family val="2"/>
    </font>
    <font>
      <sz val="11"/>
      <color theme="1"/>
      <name val="Arial"/>
      <family val="2"/>
    </font>
    <font>
      <u/>
      <sz val="10"/>
      <color theme="10"/>
      <name val="Book Antiqua"/>
      <family val="1"/>
    </font>
    <font>
      <b/>
      <u/>
      <sz val="18"/>
      <color theme="10"/>
      <name val="Arial"/>
      <family val="2"/>
    </font>
    <font>
      <sz val="11"/>
      <name val="Arial"/>
      <family val="2"/>
    </font>
    <font>
      <b/>
      <sz val="11"/>
      <name val="Arial"/>
      <family val="2"/>
    </font>
    <font>
      <sz val="11"/>
      <color rgb="FFFF0000"/>
      <name val="Arial"/>
      <family val="2"/>
    </font>
    <font>
      <sz val="11"/>
      <color theme="0"/>
      <name val="Arial"/>
      <family val="2"/>
    </font>
    <font>
      <sz val="14"/>
      <color theme="1"/>
      <name val="Arial"/>
      <family val="2"/>
    </font>
    <font>
      <sz val="16"/>
      <name val="Arial"/>
      <family val="2"/>
    </font>
    <font>
      <sz val="18"/>
      <name val="Arial"/>
      <family val="2"/>
    </font>
    <font>
      <sz val="8"/>
      <name val="Arial"/>
      <family val="2"/>
    </font>
    <font>
      <sz val="8"/>
      <color indexed="8"/>
      <name val="Arial"/>
      <family val="2"/>
    </font>
    <font>
      <sz val="10"/>
      <color rgb="FFFF0000"/>
      <name val="Arial"/>
      <family val="2"/>
    </font>
    <font>
      <sz val="10"/>
      <color theme="1"/>
      <name val="Arial"/>
      <family val="2"/>
    </font>
    <font>
      <sz val="8"/>
      <color theme="1"/>
      <name val="Arial"/>
      <family val="2"/>
    </font>
    <font>
      <sz val="10"/>
      <color theme="0"/>
      <name val="Arial"/>
      <family val="2"/>
    </font>
    <font>
      <b/>
      <sz val="10"/>
      <color theme="0"/>
      <name val="Arial"/>
      <family val="2"/>
    </font>
    <font>
      <sz val="24"/>
      <name val="Arial"/>
      <family val="2"/>
    </font>
    <font>
      <sz val="14"/>
      <name val="Arial"/>
      <family val="2"/>
    </font>
    <font>
      <sz val="22"/>
      <name val="Arial"/>
      <family val="2"/>
    </font>
    <font>
      <sz val="16"/>
      <color indexed="8"/>
      <name val="Arial"/>
      <family val="2"/>
    </font>
    <font>
      <b/>
      <u/>
      <sz val="14"/>
      <name val="Arial"/>
      <family val="2"/>
    </font>
    <font>
      <b/>
      <sz val="12"/>
      <name val="Arial"/>
      <family val="2"/>
    </font>
    <font>
      <b/>
      <sz val="14"/>
      <name val="Arial"/>
      <family val="2"/>
    </font>
    <font>
      <u/>
      <sz val="12"/>
      <name val="Arial"/>
      <family val="2"/>
    </font>
    <font>
      <b/>
      <u/>
      <sz val="12"/>
      <name val="Arial"/>
      <family val="2"/>
    </font>
    <font>
      <b/>
      <u/>
      <sz val="14"/>
      <color indexed="8"/>
      <name val="Arial"/>
      <family val="2"/>
    </font>
    <font>
      <b/>
      <sz val="4"/>
      <color indexed="8"/>
      <name val="Arial"/>
      <family val="2"/>
    </font>
    <font>
      <b/>
      <sz val="20"/>
      <color indexed="8"/>
      <name val="Arial"/>
      <family val="2"/>
    </font>
    <font>
      <b/>
      <sz val="18"/>
      <color indexed="8"/>
      <name val="Arial"/>
      <family val="2"/>
    </font>
    <font>
      <b/>
      <sz val="16"/>
      <color indexed="8"/>
      <name val="Arial"/>
      <family val="2"/>
    </font>
    <font>
      <b/>
      <sz val="10"/>
      <color indexed="8"/>
      <name val="Arial"/>
      <family val="2"/>
    </font>
    <font>
      <sz val="10"/>
      <color indexed="8"/>
      <name val="Arial"/>
      <family val="2"/>
    </font>
    <font>
      <b/>
      <i/>
      <u/>
      <sz val="10"/>
      <color indexed="8"/>
      <name val="Arial"/>
      <family val="2"/>
    </font>
    <font>
      <b/>
      <u/>
      <sz val="11"/>
      <color indexed="8"/>
      <name val="Arial"/>
      <family val="2"/>
    </font>
    <font>
      <sz val="16"/>
      <color rgb="FF000000"/>
      <name val="Arial"/>
      <family val="2"/>
    </font>
    <font>
      <b/>
      <i/>
      <sz val="18"/>
      <color rgb="FF000000"/>
      <name val="Arial"/>
      <family val="2"/>
    </font>
    <font>
      <b/>
      <i/>
      <u/>
      <sz val="18"/>
      <color indexed="8"/>
      <name val="Arial"/>
      <family val="2"/>
    </font>
    <font>
      <i/>
      <sz val="18"/>
      <color indexed="8"/>
      <name val="Arial"/>
      <family val="2"/>
    </font>
    <font>
      <i/>
      <sz val="16"/>
      <color indexed="8"/>
      <name val="Arial"/>
      <family val="2"/>
    </font>
    <font>
      <sz val="24"/>
      <color theme="1"/>
      <name val="Arial"/>
      <family val="2"/>
    </font>
  </fonts>
  <fills count="11">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style="medium">
        <color indexed="64"/>
      </right>
      <top style="medium">
        <color indexed="64"/>
      </top>
      <bottom style="dashed">
        <color indexed="64"/>
      </bottom>
      <diagonal/>
    </border>
    <border>
      <left style="medium">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hair">
        <color indexed="64"/>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hair">
        <color indexed="64"/>
      </right>
      <top style="medium">
        <color indexed="64"/>
      </top>
      <bottom style="dashed">
        <color indexed="64"/>
      </bottom>
      <diagonal/>
    </border>
    <border>
      <left/>
      <right style="hair">
        <color indexed="64"/>
      </right>
      <top style="dashed">
        <color indexed="64"/>
      </top>
      <bottom style="dashed">
        <color indexed="64"/>
      </bottom>
      <diagonal/>
    </border>
    <border>
      <left/>
      <right style="hair">
        <color indexed="64"/>
      </right>
      <top style="dashed">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xf numFmtId="164" fontId="3" fillId="0" borderId="0" applyFont="0" applyFill="0" applyBorder="0" applyAlignment="0" applyProtection="0"/>
    <xf numFmtId="0" fontId="1" fillId="0" borderId="0"/>
    <xf numFmtId="0" fontId="3" fillId="0" borderId="0"/>
    <xf numFmtId="0" fontId="1" fillId="0" borderId="0"/>
    <xf numFmtId="0" fontId="1" fillId="0" borderId="0"/>
    <xf numFmtId="0" fontId="35" fillId="0" borderId="0" applyNumberFormat="0" applyFill="0" applyBorder="0" applyAlignment="0" applyProtection="0"/>
  </cellStyleXfs>
  <cellXfs count="448">
    <xf numFmtId="0" fontId="0" fillId="0" borderId="0" xfId="0"/>
    <xf numFmtId="0" fontId="2" fillId="0" borderId="0" xfId="4" applyFont="1" applyAlignment="1">
      <alignment vertical="center"/>
    </xf>
    <xf numFmtId="0" fontId="5" fillId="0" borderId="0" xfId="4" applyFont="1" applyAlignment="1">
      <alignment vertical="center"/>
    </xf>
    <xf numFmtId="0" fontId="5" fillId="0" borderId="0" xfId="4" applyFont="1" applyAlignment="1">
      <alignment horizontal="center" vertical="center"/>
    </xf>
    <xf numFmtId="2" fontId="5" fillId="0" borderId="0" xfId="1" applyNumberFormat="1" applyFont="1" applyAlignment="1" applyProtection="1">
      <alignment vertical="center"/>
    </xf>
    <xf numFmtId="2" fontId="5" fillId="0" borderId="0" xfId="4" applyNumberFormat="1" applyFont="1" applyAlignment="1">
      <alignment vertical="center"/>
    </xf>
    <xf numFmtId="0" fontId="5" fillId="0" borderId="0" xfId="4" applyFont="1" applyAlignment="1">
      <alignment horizontal="left" vertical="center"/>
    </xf>
    <xf numFmtId="0" fontId="4" fillId="0" borderId="0" xfId="0" applyFont="1" applyAlignment="1">
      <alignment vertical="center"/>
    </xf>
    <xf numFmtId="15" fontId="5" fillId="0" borderId="0" xfId="4" applyNumberFormat="1" applyFont="1" applyAlignment="1">
      <alignment vertical="center"/>
    </xf>
    <xf numFmtId="15" fontId="5" fillId="0" borderId="0" xfId="4" applyNumberFormat="1" applyFont="1" applyAlignment="1">
      <alignment horizontal="center" vertical="center"/>
    </xf>
    <xf numFmtId="0" fontId="7" fillId="0" borderId="0" xfId="3" applyFont="1" applyAlignment="1">
      <alignment vertical="center" wrapText="1"/>
    </xf>
    <xf numFmtId="0" fontId="17" fillId="0" borderId="0" xfId="4" applyFont="1" applyAlignment="1">
      <alignment vertical="center"/>
    </xf>
    <xf numFmtId="0" fontId="5" fillId="9" borderId="0" xfId="4" applyFont="1" applyFill="1" applyAlignment="1">
      <alignment horizontal="center" vertical="center"/>
    </xf>
    <xf numFmtId="0" fontId="5" fillId="9" borderId="0" xfId="4" applyFont="1" applyFill="1" applyAlignment="1">
      <alignment vertical="center"/>
    </xf>
    <xf numFmtId="0" fontId="4" fillId="0" borderId="0" xfId="0" applyFont="1" applyAlignment="1">
      <alignment horizontal="center" vertical="center"/>
    </xf>
    <xf numFmtId="0" fontId="34" fillId="0" borderId="0" xfId="0" applyFont="1" applyAlignment="1">
      <alignment horizontal="center" vertical="center"/>
    </xf>
    <xf numFmtId="165" fontId="34" fillId="0" borderId="28" xfId="0" applyNumberFormat="1" applyFont="1" applyBorder="1" applyAlignment="1">
      <alignment horizontal="center" vertical="center"/>
    </xf>
    <xf numFmtId="49" fontId="34" fillId="0" borderId="28" xfId="0" applyNumberFormat="1" applyFont="1" applyBorder="1" applyAlignment="1">
      <alignment horizontal="center" vertical="center"/>
    </xf>
    <xf numFmtId="0" fontId="34" fillId="0" borderId="28" xfId="0" applyFont="1" applyBorder="1" applyAlignment="1">
      <alignment horizontal="left" vertical="center"/>
    </xf>
    <xf numFmtId="0" fontId="34" fillId="0" borderId="29" xfId="0" applyFont="1" applyBorder="1" applyAlignment="1">
      <alignment horizontal="center" vertical="center"/>
    </xf>
    <xf numFmtId="165" fontId="34" fillId="0" borderId="29" xfId="0" applyNumberFormat="1" applyFont="1" applyBorder="1" applyAlignment="1">
      <alignment horizontal="center" vertical="center"/>
    </xf>
    <xf numFmtId="0" fontId="34" fillId="0" borderId="0" xfId="0" applyFont="1" applyAlignment="1">
      <alignment horizontal="left" vertical="center"/>
    </xf>
    <xf numFmtId="165" fontId="34" fillId="0" borderId="0" xfId="0" applyNumberFormat="1" applyFont="1" applyAlignment="1">
      <alignment horizontal="center" vertical="center"/>
    </xf>
    <xf numFmtId="49" fontId="34" fillId="0" borderId="0" xfId="0" applyNumberFormat="1" applyFont="1" applyAlignment="1">
      <alignment horizontal="center" vertical="center"/>
    </xf>
    <xf numFmtId="49" fontId="34" fillId="0" borderId="29" xfId="0" applyNumberFormat="1" applyFont="1" applyBorder="1" applyAlignment="1">
      <alignment horizontal="center" vertical="center"/>
    </xf>
    <xf numFmtId="0" fontId="37" fillId="0" borderId="0" xfId="4" applyFont="1" applyAlignment="1">
      <alignment vertical="center"/>
    </xf>
    <xf numFmtId="0" fontId="37" fillId="0" borderId="0" xfId="4"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37" fillId="0" borderId="0" xfId="0" applyFont="1" applyAlignment="1">
      <alignment horizontal="center" vertical="center"/>
    </xf>
    <xf numFmtId="167" fontId="8" fillId="0" borderId="0" xfId="0" applyNumberFormat="1" applyFont="1" applyAlignment="1">
      <alignment horizontal="center" vertical="center"/>
    </xf>
    <xf numFmtId="0" fontId="40" fillId="0" borderId="0" xfId="0" applyFont="1" applyAlignment="1">
      <alignment horizontal="center" vertical="center"/>
    </xf>
    <xf numFmtId="0" fontId="39" fillId="0" borderId="0" xfId="0" applyFont="1" applyAlignment="1">
      <alignment horizontal="center" vertical="center"/>
    </xf>
    <xf numFmtId="0" fontId="39" fillId="0" borderId="0" xfId="4" applyFont="1" applyAlignment="1">
      <alignment horizontal="center" vertical="center"/>
    </xf>
    <xf numFmtId="0" fontId="40" fillId="0" borderId="0" xfId="4" applyFont="1" applyAlignment="1">
      <alignment vertical="center"/>
    </xf>
    <xf numFmtId="0" fontId="39" fillId="0" borderId="0" xfId="4" applyFont="1" applyAlignment="1">
      <alignment vertical="center"/>
    </xf>
    <xf numFmtId="0" fontId="37" fillId="0" borderId="0" xfId="5" applyFont="1" applyAlignment="1">
      <alignment horizontal="center" vertical="center"/>
    </xf>
    <xf numFmtId="49" fontId="37" fillId="0" borderId="0" xfId="4" applyNumberFormat="1" applyFont="1" applyAlignment="1">
      <alignment horizontal="center" vertical="center"/>
    </xf>
    <xf numFmtId="0" fontId="38" fillId="0" borderId="0" xfId="5" applyFont="1" applyAlignment="1">
      <alignment horizontal="center" vertical="center"/>
    </xf>
    <xf numFmtId="0" fontId="45" fillId="0" borderId="1" xfId="0" applyFont="1" applyBorder="1" applyAlignment="1">
      <alignment horizontal="center" vertical="center"/>
    </xf>
    <xf numFmtId="1" fontId="45" fillId="0" borderId="1" xfId="0" applyNumberFormat="1" applyFont="1" applyBorder="1" applyAlignment="1">
      <alignment horizontal="center" vertical="center"/>
    </xf>
    <xf numFmtId="0" fontId="1" fillId="0" borderId="0" xfId="0" applyFont="1" applyAlignment="1">
      <alignment horizontal="center" vertical="center"/>
    </xf>
    <xf numFmtId="0" fontId="45" fillId="0" borderId="0" xfId="0" applyFont="1" applyAlignment="1">
      <alignment horizontal="center" vertical="center"/>
    </xf>
    <xf numFmtId="1" fontId="44" fillId="0" borderId="0" xfId="1" applyNumberFormat="1" applyFont="1" applyFill="1" applyBorder="1" applyAlignment="1" applyProtection="1">
      <alignment horizontal="center" vertical="center"/>
    </xf>
    <xf numFmtId="0" fontId="44" fillId="0" borderId="0" xfId="4" applyFont="1" applyAlignment="1">
      <alignment horizontal="center" vertical="center"/>
    </xf>
    <xf numFmtId="0" fontId="48" fillId="0" borderId="1" xfId="0" applyFont="1" applyBorder="1" applyAlignment="1">
      <alignment horizontal="center" vertical="center"/>
    </xf>
    <xf numFmtId="1" fontId="48" fillId="0" borderId="1" xfId="0" applyNumberFormat="1" applyFont="1" applyBorder="1" applyAlignment="1">
      <alignment horizontal="center" vertical="center"/>
    </xf>
    <xf numFmtId="0" fontId="47" fillId="0" borderId="0" xfId="0" applyFont="1" applyAlignment="1">
      <alignment horizontal="center" vertical="center"/>
    </xf>
    <xf numFmtId="0" fontId="1" fillId="0" borderId="0" xfId="0" applyFont="1" applyAlignment="1">
      <alignment vertical="center"/>
    </xf>
    <xf numFmtId="0" fontId="43" fillId="0" borderId="0" xfId="0" applyFont="1" applyAlignment="1">
      <alignment vertical="center"/>
    </xf>
    <xf numFmtId="1" fontId="1" fillId="0" borderId="0" xfId="0" applyNumberFormat="1" applyFont="1" applyAlignment="1">
      <alignment vertical="center"/>
    </xf>
    <xf numFmtId="0" fontId="1" fillId="0" borderId="0" xfId="0" applyFont="1" applyAlignment="1">
      <alignment horizontal="right" vertical="center"/>
    </xf>
    <xf numFmtId="0" fontId="44" fillId="0" borderId="0" xfId="0" applyFont="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1" fontId="1" fillId="0" borderId="25" xfId="0" applyNumberFormat="1" applyFont="1" applyBorder="1" applyAlignment="1">
      <alignment horizontal="center" vertical="center"/>
    </xf>
    <xf numFmtId="0" fontId="1" fillId="0" borderId="26" xfId="0" applyFont="1" applyBorder="1" applyAlignment="1">
      <alignment horizontal="center" vertical="center"/>
    </xf>
    <xf numFmtId="0" fontId="1" fillId="0" borderId="60" xfId="0" applyFont="1" applyBorder="1" applyAlignment="1">
      <alignment horizontal="center" vertical="center"/>
    </xf>
    <xf numFmtId="0" fontId="1" fillId="0" borderId="30" xfId="0" applyFont="1" applyBorder="1" applyAlignment="1">
      <alignment vertical="center"/>
    </xf>
    <xf numFmtId="1" fontId="1" fillId="0" borderId="30" xfId="0" applyNumberFormat="1" applyFont="1" applyBorder="1" applyAlignment="1">
      <alignment horizontal="center" vertical="center"/>
    </xf>
    <xf numFmtId="0" fontId="1" fillId="0" borderId="30" xfId="0" applyFont="1" applyBorder="1" applyAlignment="1">
      <alignment horizontal="center" vertical="center"/>
    </xf>
    <xf numFmtId="165" fontId="1" fillId="0" borderId="30" xfId="0" applyNumberFormat="1" applyFont="1" applyBorder="1" applyAlignment="1">
      <alignment horizontal="center" vertical="center"/>
    </xf>
    <xf numFmtId="0" fontId="1" fillId="0" borderId="61" xfId="0" applyFont="1" applyBorder="1" applyAlignment="1">
      <alignment horizontal="center" vertical="center"/>
    </xf>
    <xf numFmtId="0" fontId="1" fillId="0" borderId="55" xfId="0" applyFont="1" applyBorder="1" applyAlignment="1">
      <alignment horizontal="center" vertical="center"/>
    </xf>
    <xf numFmtId="0" fontId="1" fillId="0" borderId="28" xfId="0" applyFont="1" applyBorder="1" applyAlignment="1">
      <alignment vertical="center"/>
    </xf>
    <xf numFmtId="1" fontId="1" fillId="0" borderId="28" xfId="0" applyNumberFormat="1" applyFont="1" applyBorder="1" applyAlignment="1">
      <alignment horizontal="center" vertical="center"/>
    </xf>
    <xf numFmtId="0" fontId="1" fillId="0" borderId="28" xfId="0" applyFont="1" applyBorder="1" applyAlignment="1">
      <alignment horizontal="center" vertical="center"/>
    </xf>
    <xf numFmtId="165" fontId="1" fillId="0" borderId="28" xfId="0" applyNumberFormat="1"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vertical="center"/>
    </xf>
    <xf numFmtId="1" fontId="1" fillId="0" borderId="58" xfId="0" applyNumberFormat="1" applyFont="1" applyBorder="1" applyAlignment="1">
      <alignment horizontal="center" vertical="center"/>
    </xf>
    <xf numFmtId="0" fontId="1" fillId="0" borderId="58" xfId="0" applyFont="1" applyBorder="1" applyAlignment="1">
      <alignment horizontal="center" vertical="center"/>
    </xf>
    <xf numFmtId="165" fontId="1" fillId="0" borderId="58" xfId="0" applyNumberFormat="1" applyFont="1" applyBorder="1" applyAlignment="1">
      <alignment horizontal="center" vertical="center"/>
    </xf>
    <xf numFmtId="0" fontId="1" fillId="0" borderId="59" xfId="0" applyFont="1" applyBorder="1" applyAlignment="1">
      <alignment horizontal="center" vertical="center"/>
    </xf>
    <xf numFmtId="0" fontId="1" fillId="0" borderId="7" xfId="0" applyFont="1" applyBorder="1" applyAlignment="1" applyProtection="1">
      <alignment vertical="center"/>
      <protection locked="0"/>
    </xf>
    <xf numFmtId="0" fontId="1" fillId="0" borderId="8" xfId="0" applyFont="1" applyBorder="1" applyAlignment="1" applyProtection="1">
      <alignment vertical="center"/>
      <protection locked="0"/>
    </xf>
    <xf numFmtId="1" fontId="1" fillId="0" borderId="8" xfId="0" applyNumberFormat="1" applyFont="1" applyBorder="1" applyAlignment="1" applyProtection="1">
      <alignment vertical="center"/>
      <protection locked="0"/>
    </xf>
    <xf numFmtId="0" fontId="1" fillId="0" borderId="9" xfId="0" applyFont="1" applyBorder="1" applyAlignment="1" applyProtection="1">
      <alignment vertical="center"/>
      <protection locked="0"/>
    </xf>
    <xf numFmtId="0" fontId="46" fillId="0" borderId="0" xfId="0" applyFont="1" applyAlignment="1">
      <alignment vertical="center"/>
    </xf>
    <xf numFmtId="165" fontId="1" fillId="0" borderId="0" xfId="0" applyNumberFormat="1" applyFont="1" applyAlignment="1">
      <alignment horizontal="center" vertical="center"/>
    </xf>
    <xf numFmtId="0" fontId="47" fillId="0" borderId="0" xfId="0" applyFont="1" applyAlignment="1">
      <alignment vertical="center"/>
    </xf>
    <xf numFmtId="0" fontId="46" fillId="0" borderId="0" xfId="0" applyFont="1" applyAlignment="1">
      <alignment vertical="center" wrapText="1"/>
    </xf>
    <xf numFmtId="0" fontId="1" fillId="0" borderId="0" xfId="0" applyFont="1" applyAlignment="1">
      <alignment horizontal="center" vertical="center" wrapText="1"/>
    </xf>
    <xf numFmtId="1" fontId="47" fillId="0" borderId="0" xfId="0" applyNumberFormat="1" applyFont="1" applyAlignment="1">
      <alignment vertical="center"/>
    </xf>
    <xf numFmtId="0" fontId="49" fillId="0" borderId="0" xfId="0" applyFont="1" applyAlignment="1">
      <alignment vertical="center"/>
    </xf>
    <xf numFmtId="1" fontId="49" fillId="0" borderId="0" xfId="0" applyNumberFormat="1" applyFont="1" applyAlignment="1">
      <alignment vertical="center"/>
    </xf>
    <xf numFmtId="0" fontId="50" fillId="0" borderId="0" xfId="0" applyFont="1" applyAlignment="1">
      <alignment horizontal="center" vertical="center"/>
    </xf>
    <xf numFmtId="1" fontId="50" fillId="0" borderId="0" xfId="0" applyNumberFormat="1" applyFont="1" applyAlignment="1">
      <alignment horizontal="center" vertical="center"/>
    </xf>
    <xf numFmtId="0" fontId="49"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3" fillId="0" borderId="0" xfId="0" applyFont="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51" fillId="0" borderId="0" xfId="0" applyFont="1" applyAlignment="1">
      <alignment vertical="center"/>
    </xf>
    <xf numFmtId="1" fontId="2" fillId="0" borderId="0" xfId="0" applyNumberFormat="1" applyFont="1" applyAlignment="1">
      <alignment horizontal="center" vertical="center"/>
    </xf>
    <xf numFmtId="165" fontId="2" fillId="2" borderId="3" xfId="0" applyNumberFormat="1" applyFont="1" applyFill="1" applyBorder="1" applyAlignment="1">
      <alignment horizontal="center" vertical="center"/>
    </xf>
    <xf numFmtId="0" fontId="14" fillId="0" borderId="43" xfId="0" applyFont="1" applyBorder="1" applyAlignment="1">
      <alignment horizontal="center" vertical="center"/>
    </xf>
    <xf numFmtId="1" fontId="54" fillId="7" borderId="1" xfId="0" applyNumberFormat="1" applyFont="1" applyFill="1" applyBorder="1" applyAlignment="1" applyProtection="1">
      <alignment horizontal="center" vertical="center"/>
      <protection locked="0"/>
    </xf>
    <xf numFmtId="0" fontId="54" fillId="7" borderId="1" xfId="0" applyFont="1" applyFill="1" applyBorder="1" applyAlignment="1" applyProtection="1">
      <alignment horizontal="center" vertical="center"/>
      <protection locked="0"/>
    </xf>
    <xf numFmtId="2" fontId="54" fillId="0" borderId="1" xfId="0" applyNumberFormat="1" applyFont="1" applyBorder="1" applyAlignment="1">
      <alignment horizontal="center" vertical="center"/>
    </xf>
    <xf numFmtId="2" fontId="54" fillId="7" borderId="1" xfId="0" applyNumberFormat="1" applyFont="1" applyFill="1" applyBorder="1" applyAlignment="1" applyProtection="1">
      <alignment horizontal="center" vertical="center"/>
      <protection locked="0"/>
    </xf>
    <xf numFmtId="2" fontId="42" fillId="0" borderId="1" xfId="1" applyNumberFormat="1" applyFont="1" applyFill="1" applyBorder="1" applyAlignment="1" applyProtection="1">
      <alignment horizontal="center" vertical="center"/>
    </xf>
    <xf numFmtId="0" fontId="42" fillId="0" borderId="1" xfId="4" applyFont="1" applyBorder="1" applyAlignment="1">
      <alignment horizontal="center" vertical="center"/>
    </xf>
    <xf numFmtId="0" fontId="42" fillId="0" borderId="0" xfId="4" applyFont="1" applyAlignment="1">
      <alignment horizontal="center" vertical="center"/>
    </xf>
    <xf numFmtId="0" fontId="54" fillId="0" borderId="4" xfId="0" applyFont="1" applyBorder="1" applyAlignment="1">
      <alignment horizontal="center" vertical="center"/>
    </xf>
    <xf numFmtId="1" fontId="54" fillId="0" borderId="1" xfId="0" applyNumberFormat="1" applyFont="1" applyBorder="1" applyAlignment="1">
      <alignment horizontal="center" vertical="center"/>
    </xf>
    <xf numFmtId="0" fontId="55" fillId="2" borderId="0" xfId="0" applyFont="1" applyFill="1" applyAlignment="1">
      <alignment horizontal="center" vertical="center"/>
    </xf>
    <xf numFmtId="0" fontId="14" fillId="0" borderId="0" xfId="0" applyFont="1" applyAlignment="1">
      <alignment horizontal="center" vertical="center"/>
    </xf>
    <xf numFmtId="0" fontId="54" fillId="0" borderId="0" xfId="0" applyFont="1" applyAlignment="1">
      <alignment horizontal="center" vertical="center"/>
    </xf>
    <xf numFmtId="1" fontId="54" fillId="0" borderId="0" xfId="0" applyNumberFormat="1" applyFont="1" applyAlignment="1" applyProtection="1">
      <alignment horizontal="center" vertical="center"/>
      <protection locked="0"/>
    </xf>
    <xf numFmtId="0" fontId="54" fillId="0" borderId="0" xfId="0" applyFont="1" applyAlignment="1" applyProtection="1">
      <alignment horizontal="center" vertical="center"/>
      <protection locked="0"/>
    </xf>
    <xf numFmtId="2" fontId="54" fillId="0" borderId="0" xfId="0" applyNumberFormat="1" applyFont="1" applyAlignment="1">
      <alignment horizontal="center" vertical="center"/>
    </xf>
    <xf numFmtId="1" fontId="54" fillId="0" borderId="0" xfId="0" applyNumberFormat="1" applyFont="1" applyAlignment="1">
      <alignment horizontal="center" vertical="center"/>
    </xf>
    <xf numFmtId="1" fontId="42" fillId="0" borderId="0" xfId="1" applyNumberFormat="1" applyFont="1" applyFill="1" applyBorder="1" applyAlignment="1" applyProtection="1">
      <alignment horizontal="center" vertical="center"/>
    </xf>
    <xf numFmtId="0" fontId="42" fillId="0" borderId="31" xfId="4" applyFont="1" applyBorder="1" applyAlignment="1">
      <alignment horizontal="center" vertical="center"/>
    </xf>
    <xf numFmtId="165" fontId="56" fillId="2" borderId="0" xfId="0" applyNumberFormat="1" applyFont="1" applyFill="1" applyAlignment="1">
      <alignment horizontal="center" vertical="center"/>
    </xf>
    <xf numFmtId="0" fontId="2" fillId="0" borderId="0" xfId="0" applyFont="1" applyAlignment="1">
      <alignment horizontal="right" vertical="center"/>
    </xf>
    <xf numFmtId="0" fontId="52" fillId="2" borderId="0" xfId="0" applyFont="1" applyFill="1" applyAlignment="1">
      <alignment horizontal="center" vertical="center"/>
    </xf>
    <xf numFmtId="165" fontId="55" fillId="2" borderId="0" xfId="0" applyNumberFormat="1" applyFont="1" applyFill="1" applyAlignment="1">
      <alignment horizontal="center" vertical="center"/>
    </xf>
    <xf numFmtId="0" fontId="2" fillId="0" borderId="22" xfId="4" applyFont="1" applyBorder="1" applyAlignment="1" applyProtection="1">
      <alignment horizontal="center" vertical="center"/>
      <protection locked="0"/>
    </xf>
    <xf numFmtId="0" fontId="57" fillId="2" borderId="0" xfId="0" applyFont="1" applyFill="1" applyAlignment="1">
      <alignment horizontal="center" vertical="center"/>
    </xf>
    <xf numFmtId="0" fontId="51" fillId="0" borderId="0" xfId="0" applyFont="1" applyAlignment="1">
      <alignment horizontal="center" vertical="center"/>
    </xf>
    <xf numFmtId="169" fontId="2" fillId="0" borderId="0" xfId="0" applyNumberFormat="1" applyFont="1" applyAlignment="1">
      <alignment horizontal="center" vertical="center"/>
    </xf>
    <xf numFmtId="165" fontId="2" fillId="2" borderId="0" xfId="0" applyNumberFormat="1" applyFont="1" applyFill="1" applyAlignment="1">
      <alignment horizontal="center" vertical="center"/>
    </xf>
    <xf numFmtId="0" fontId="2" fillId="0" borderId="1" xfId="4" applyFont="1" applyBorder="1" applyAlignment="1" applyProtection="1">
      <alignment horizontal="center" vertical="center"/>
      <protection locked="0"/>
    </xf>
    <xf numFmtId="165" fontId="2" fillId="0" borderId="0" xfId="0" applyNumberFormat="1" applyFont="1" applyAlignment="1">
      <alignment horizontal="center" vertical="center"/>
    </xf>
    <xf numFmtId="165" fontId="52" fillId="2" borderId="0" xfId="0" applyNumberFormat="1" applyFont="1" applyFill="1" applyAlignment="1">
      <alignment horizontal="center" vertical="center"/>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1" fontId="2" fillId="0" borderId="0" xfId="1" applyNumberFormat="1" applyFont="1" applyAlignment="1">
      <alignment horizontal="center" vertical="center"/>
    </xf>
    <xf numFmtId="168" fontId="2" fillId="0" borderId="0" xfId="0" applyNumberFormat="1" applyFont="1" applyAlignment="1">
      <alignment horizontal="center" vertical="center"/>
    </xf>
    <xf numFmtId="165" fontId="2" fillId="0" borderId="3" xfId="0" applyNumberFormat="1" applyFont="1" applyBorder="1" applyAlignment="1">
      <alignment horizontal="center" vertical="center"/>
    </xf>
    <xf numFmtId="2" fontId="54" fillId="0" borderId="0" xfId="0" applyNumberFormat="1" applyFont="1" applyAlignment="1" applyProtection="1">
      <alignment horizontal="center" vertical="center"/>
      <protection locked="0"/>
    </xf>
    <xf numFmtId="1" fontId="2" fillId="0" borderId="0" xfId="1" applyNumberFormat="1" applyFont="1" applyFill="1" applyBorder="1" applyAlignment="1" applyProtection="1">
      <alignment horizontal="center" vertical="center"/>
    </xf>
    <xf numFmtId="0" fontId="2" fillId="0" borderId="0" xfId="4" applyFont="1" applyAlignment="1">
      <alignment horizontal="center" vertical="center"/>
    </xf>
    <xf numFmtId="0" fontId="2" fillId="0" borderId="0" xfId="4" applyFont="1" applyAlignment="1" applyProtection="1">
      <alignment horizontal="center" vertical="center"/>
      <protection locked="0"/>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2" xfId="0" applyFont="1" applyFill="1" applyBorder="1" applyAlignment="1">
      <alignment horizontal="center" vertical="center"/>
    </xf>
    <xf numFmtId="0" fontId="55" fillId="4" borderId="0" xfId="0" applyFont="1" applyFill="1" applyAlignment="1">
      <alignment horizontal="center" vertical="center"/>
    </xf>
    <xf numFmtId="165" fontId="2" fillId="3" borderId="3" xfId="0" applyNumberFormat="1" applyFont="1" applyFill="1" applyBorder="1" applyAlignment="1">
      <alignment horizontal="center" vertical="center"/>
    </xf>
    <xf numFmtId="165" fontId="2" fillId="5" borderId="3" xfId="0" applyNumberFormat="1" applyFont="1" applyFill="1" applyBorder="1" applyAlignment="1">
      <alignment horizontal="center" vertical="center"/>
    </xf>
    <xf numFmtId="0" fontId="56" fillId="4" borderId="0" xfId="0" applyFont="1" applyFill="1" applyAlignment="1">
      <alignment horizontal="center" vertical="center"/>
    </xf>
    <xf numFmtId="0" fontId="57" fillId="3" borderId="0" xfId="0" applyFont="1" applyFill="1" applyAlignment="1">
      <alignment horizontal="center" vertical="center"/>
    </xf>
    <xf numFmtId="165" fontId="2" fillId="4" borderId="3" xfId="0" applyNumberFormat="1" applyFont="1" applyFill="1" applyBorder="1" applyAlignment="1">
      <alignment horizontal="center" vertical="center"/>
    </xf>
    <xf numFmtId="0" fontId="2" fillId="5" borderId="3" xfId="0" applyFont="1" applyFill="1" applyBorder="1" applyAlignment="1">
      <alignment horizontal="center" vertical="center"/>
    </xf>
    <xf numFmtId="0" fontId="2" fillId="5" borderId="0" xfId="0" applyFont="1" applyFill="1" applyAlignment="1">
      <alignment horizontal="center" vertical="center"/>
    </xf>
    <xf numFmtId="0" fontId="2" fillId="5" borderId="2" xfId="0" applyFont="1" applyFill="1" applyBorder="1" applyAlignment="1">
      <alignment horizontal="center" vertical="center"/>
    </xf>
    <xf numFmtId="0" fontId="56" fillId="5" borderId="0" xfId="0" applyFont="1" applyFill="1" applyAlignment="1">
      <alignment horizontal="center" vertical="center"/>
    </xf>
    <xf numFmtId="0" fontId="58" fillId="5" borderId="0" xfId="0" applyFont="1" applyFill="1" applyAlignment="1">
      <alignment horizontal="center" vertical="center"/>
    </xf>
    <xf numFmtId="0" fontId="59" fillId="5" borderId="0" xfId="0" applyFont="1" applyFill="1" applyAlignment="1">
      <alignment horizontal="center" vertical="center"/>
    </xf>
    <xf numFmtId="1" fontId="56" fillId="0" borderId="0" xfId="0" applyNumberFormat="1" applyFont="1" applyAlignment="1">
      <alignment horizontal="center" vertical="center"/>
    </xf>
    <xf numFmtId="0" fontId="56" fillId="0" borderId="0" xfId="0" applyFont="1" applyAlignment="1">
      <alignment horizontal="center" vertical="center"/>
    </xf>
    <xf numFmtId="165" fontId="2" fillId="6" borderId="0" xfId="0" applyNumberFormat="1" applyFont="1" applyFill="1" applyAlignment="1">
      <alignment horizontal="center" vertical="center"/>
    </xf>
    <xf numFmtId="166" fontId="2" fillId="0" borderId="0" xfId="0" applyNumberFormat="1" applyFont="1" applyAlignment="1">
      <alignment horizontal="center" vertical="center"/>
    </xf>
    <xf numFmtId="0" fontId="2" fillId="0" borderId="0" xfId="0" applyFont="1" applyAlignment="1">
      <alignment vertical="center"/>
    </xf>
    <xf numFmtId="0" fontId="52" fillId="0" borderId="0" xfId="0" applyFont="1" applyAlignment="1">
      <alignment vertical="center"/>
    </xf>
    <xf numFmtId="166" fontId="2" fillId="0" borderId="0" xfId="0" applyNumberFormat="1" applyFont="1" applyAlignment="1">
      <alignment vertical="center"/>
    </xf>
    <xf numFmtId="0" fontId="8" fillId="0" borderId="0" xfId="0" applyFont="1" applyAlignment="1">
      <alignment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42" fillId="0" borderId="0" xfId="0" applyFont="1" applyAlignment="1">
      <alignment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2" borderId="0" xfId="0" applyFont="1" applyFill="1" applyAlignment="1">
      <alignment vertical="center"/>
    </xf>
    <xf numFmtId="1" fontId="42" fillId="0" borderId="0" xfId="0" applyNumberFormat="1" applyFont="1" applyAlignment="1">
      <alignment vertical="center"/>
    </xf>
    <xf numFmtId="0" fontId="42" fillId="0" borderId="0" xfId="0" applyFont="1" applyAlignment="1">
      <alignment horizontal="center" vertical="center"/>
    </xf>
    <xf numFmtId="1" fontId="1" fillId="0" borderId="0" xfId="0" applyNumberFormat="1" applyFont="1" applyAlignment="1">
      <alignment horizontal="center" vertical="center"/>
    </xf>
    <xf numFmtId="169" fontId="1" fillId="0" borderId="0" xfId="0" applyNumberFormat="1" applyFont="1" applyAlignment="1">
      <alignment horizontal="center" vertical="center"/>
    </xf>
    <xf numFmtId="0" fontId="2" fillId="0" borderId="0" xfId="1" applyNumberFormat="1" applyFont="1" applyAlignment="1">
      <alignment horizontal="center" vertical="center"/>
    </xf>
    <xf numFmtId="169" fontId="2" fillId="0" borderId="0" xfId="0" applyNumberFormat="1" applyFont="1" applyAlignment="1">
      <alignment vertical="center"/>
    </xf>
    <xf numFmtId="165" fontId="2" fillId="0" borderId="0" xfId="0" applyNumberFormat="1" applyFont="1" applyAlignment="1">
      <alignment vertical="center"/>
    </xf>
    <xf numFmtId="168" fontId="2" fillId="0" borderId="0" xfId="0" applyNumberFormat="1" applyFont="1" applyAlignment="1">
      <alignment vertical="center"/>
    </xf>
    <xf numFmtId="0" fontId="52" fillId="0" borderId="0" xfId="0" applyFont="1" applyAlignment="1">
      <alignment horizontal="center" vertical="center"/>
    </xf>
    <xf numFmtId="0" fontId="2" fillId="4" borderId="0" xfId="0" applyFont="1" applyFill="1" applyAlignment="1">
      <alignment vertical="center"/>
    </xf>
    <xf numFmtId="0" fontId="56" fillId="4" borderId="0" xfId="0" applyFont="1" applyFill="1" applyAlignment="1">
      <alignment vertical="center"/>
    </xf>
    <xf numFmtId="0" fontId="2" fillId="3" borderId="0" xfId="0" applyFont="1" applyFill="1" applyAlignment="1">
      <alignment vertical="center"/>
    </xf>
    <xf numFmtId="0" fontId="2" fillId="5" borderId="0" xfId="0" applyFont="1" applyFill="1" applyAlignment="1">
      <alignment vertical="center"/>
    </xf>
    <xf numFmtId="0" fontId="56" fillId="5" borderId="0" xfId="0" applyFont="1" applyFill="1" applyAlignment="1">
      <alignment vertical="center"/>
    </xf>
    <xf numFmtId="1" fontId="2" fillId="0" borderId="0" xfId="0" applyNumberFormat="1" applyFont="1" applyAlignment="1">
      <alignment vertical="center"/>
    </xf>
    <xf numFmtId="0" fontId="45" fillId="0" borderId="22" xfId="0" applyFont="1" applyBorder="1" applyAlignment="1">
      <alignment horizontal="center" vertical="center"/>
    </xf>
    <xf numFmtId="0" fontId="48" fillId="0" borderId="22" xfId="0" applyFont="1" applyBorder="1" applyAlignment="1">
      <alignment horizontal="center" vertical="center"/>
    </xf>
    <xf numFmtId="0" fontId="48" fillId="0" borderId="0" xfId="0" applyFont="1" applyAlignment="1">
      <alignment horizontal="center" vertical="center"/>
    </xf>
    <xf numFmtId="0" fontId="44" fillId="0" borderId="0" xfId="0" applyFont="1" applyAlignment="1">
      <alignment horizontal="center" vertical="center"/>
    </xf>
    <xf numFmtId="0" fontId="44" fillId="10" borderId="1" xfId="0" applyFont="1" applyFill="1" applyBorder="1" applyAlignment="1">
      <alignment horizontal="center" vertical="center"/>
    </xf>
    <xf numFmtId="0" fontId="46" fillId="0" borderId="0" xfId="3" applyFont="1" applyAlignment="1">
      <alignment vertical="center" wrapText="1"/>
    </xf>
    <xf numFmtId="0" fontId="64" fillId="0" borderId="27" xfId="3" applyFont="1" applyBorder="1" applyAlignment="1">
      <alignment horizontal="center" vertical="center" wrapText="1"/>
    </xf>
    <xf numFmtId="0" fontId="9" fillId="0" borderId="27" xfId="3" applyFont="1" applyBorder="1" applyAlignment="1">
      <alignment horizontal="center" vertical="center"/>
    </xf>
    <xf numFmtId="165" fontId="9" fillId="0" borderId="27" xfId="3" applyNumberFormat="1" applyFont="1" applyBorder="1" applyAlignment="1">
      <alignment horizontal="center" vertical="center"/>
    </xf>
    <xf numFmtId="0" fontId="8" fillId="0" borderId="0" xfId="3" applyFont="1" applyAlignment="1">
      <alignment vertical="center"/>
    </xf>
    <xf numFmtId="0" fontId="39" fillId="0" borderId="0" xfId="3" applyFont="1" applyAlignment="1">
      <alignment vertical="center"/>
    </xf>
    <xf numFmtId="2" fontId="8" fillId="0" borderId="0" xfId="3" applyNumberFormat="1" applyFont="1" applyAlignment="1">
      <alignment vertical="center"/>
    </xf>
    <xf numFmtId="0" fontId="64" fillId="0" borderId="28" xfId="3" applyFont="1" applyBorder="1" applyAlignment="1">
      <alignment horizontal="center" vertical="center" wrapText="1"/>
    </xf>
    <xf numFmtId="0" fontId="9" fillId="0" borderId="28" xfId="3" applyFont="1" applyBorder="1" applyAlignment="1">
      <alignment horizontal="center" vertical="center"/>
    </xf>
    <xf numFmtId="165" fontId="9" fillId="0" borderId="28" xfId="3" applyNumberFormat="1" applyFont="1" applyBorder="1" applyAlignment="1">
      <alignment horizontal="center" vertical="center"/>
    </xf>
    <xf numFmtId="0" fontId="64" fillId="0" borderId="29" xfId="3" applyFont="1" applyBorder="1" applyAlignment="1">
      <alignment horizontal="center" vertical="center" wrapText="1"/>
    </xf>
    <xf numFmtId="0" fontId="9" fillId="0" borderId="29" xfId="3" applyFont="1" applyBorder="1" applyAlignment="1">
      <alignment horizontal="center" vertical="center"/>
    </xf>
    <xf numFmtId="165" fontId="9" fillId="0" borderId="29" xfId="3" applyNumberFormat="1" applyFont="1" applyBorder="1" applyAlignment="1">
      <alignment horizontal="center" vertical="center"/>
    </xf>
    <xf numFmtId="0" fontId="65" fillId="0" borderId="30" xfId="3" applyFont="1" applyBorder="1" applyAlignment="1">
      <alignment horizontal="center" vertical="center" wrapText="1"/>
    </xf>
    <xf numFmtId="0" fontId="9" fillId="0" borderId="30" xfId="3" applyFont="1" applyBorder="1" applyAlignment="1">
      <alignment vertical="center" wrapText="1"/>
    </xf>
    <xf numFmtId="0" fontId="65" fillId="0" borderId="29" xfId="3" applyFont="1" applyBorder="1" applyAlignment="1">
      <alignment horizontal="center" vertical="center" wrapText="1"/>
    </xf>
    <xf numFmtId="0" fontId="9" fillId="0" borderId="29" xfId="3" applyFont="1" applyBorder="1" applyAlignment="1">
      <alignment vertical="center" wrapText="1"/>
    </xf>
    <xf numFmtId="165" fontId="1" fillId="0" borderId="0" xfId="0" applyNumberFormat="1" applyFont="1" applyAlignment="1">
      <alignment vertical="center"/>
    </xf>
    <xf numFmtId="165" fontId="54" fillId="0" borderId="1" xfId="0" applyNumberFormat="1" applyFont="1" applyBorder="1" applyAlignment="1">
      <alignment horizontal="center" vertical="center"/>
    </xf>
    <xf numFmtId="165" fontId="54" fillId="0" borderId="0" xfId="0" applyNumberFormat="1" applyFont="1" applyAlignment="1">
      <alignment horizontal="center" vertical="center"/>
    </xf>
    <xf numFmtId="165" fontId="42" fillId="0" borderId="0" xfId="0" applyNumberFormat="1" applyFont="1" applyAlignment="1">
      <alignment vertical="center"/>
    </xf>
    <xf numFmtId="165" fontId="44" fillId="10" borderId="1" xfId="0" applyNumberFormat="1" applyFont="1" applyFill="1" applyBorder="1" applyAlignment="1">
      <alignment horizontal="center" vertical="center"/>
    </xf>
    <xf numFmtId="165" fontId="45" fillId="0" borderId="1" xfId="0" applyNumberFormat="1" applyFont="1" applyBorder="1" applyAlignment="1">
      <alignment horizontal="center" vertical="center"/>
    </xf>
    <xf numFmtId="165" fontId="48" fillId="0" borderId="1" xfId="0" applyNumberFormat="1" applyFont="1" applyBorder="1" applyAlignment="1">
      <alignment horizontal="center" vertical="center"/>
    </xf>
    <xf numFmtId="165" fontId="47" fillId="0" borderId="0" xfId="0" applyNumberFormat="1" applyFont="1" applyAlignment="1">
      <alignment vertical="center"/>
    </xf>
    <xf numFmtId="0" fontId="1" fillId="0" borderId="0" xfId="0" applyFont="1" applyAlignment="1">
      <alignment horizontal="left" vertical="center"/>
    </xf>
    <xf numFmtId="0" fontId="45" fillId="0" borderId="1" xfId="0" applyFont="1" applyBorder="1" applyAlignment="1">
      <alignment horizontal="left" vertical="center"/>
    </xf>
    <xf numFmtId="0" fontId="48" fillId="0" borderId="1" xfId="0" applyFont="1" applyBorder="1" applyAlignment="1">
      <alignment horizontal="left" vertical="center"/>
    </xf>
    <xf numFmtId="0" fontId="47" fillId="0" borderId="0" xfId="0" applyFont="1" applyAlignment="1">
      <alignment horizontal="left" vertical="center"/>
    </xf>
    <xf numFmtId="0" fontId="49" fillId="0" borderId="0" xfId="0" applyFont="1" applyAlignment="1">
      <alignment horizontal="left" vertical="center"/>
    </xf>
    <xf numFmtId="0" fontId="39" fillId="0" borderId="62" xfId="0" applyFont="1" applyBorder="1" applyAlignment="1">
      <alignment horizontal="center" vertical="center"/>
    </xf>
    <xf numFmtId="0" fontId="8" fillId="0" borderId="63" xfId="0" applyFont="1" applyBorder="1" applyAlignment="1" applyProtection="1">
      <alignment horizontal="center" vertical="center"/>
      <protection locked="0"/>
    </xf>
    <xf numFmtId="0" fontId="39" fillId="0" borderId="64" xfId="0" applyFont="1" applyBorder="1" applyAlignment="1">
      <alignment horizontal="center" vertical="center"/>
    </xf>
    <xf numFmtId="0" fontId="8" fillId="0" borderId="65" xfId="0" applyFont="1" applyBorder="1" applyAlignment="1" applyProtection="1">
      <alignment horizontal="center" vertical="center"/>
      <protection locked="0"/>
    </xf>
    <xf numFmtId="0" fontId="39" fillId="0" borderId="66" xfId="0" applyFont="1" applyBorder="1" applyAlignment="1">
      <alignment horizontal="center" vertical="center"/>
    </xf>
    <xf numFmtId="0" fontId="8" fillId="0" borderId="67" xfId="0" applyFont="1" applyBorder="1" applyAlignment="1" applyProtection="1">
      <alignment horizontal="center" vertical="center"/>
      <protection locked="0"/>
    </xf>
    <xf numFmtId="0" fontId="5" fillId="0" borderId="0" xfId="0" applyFont="1" applyAlignment="1">
      <alignment vertical="center"/>
    </xf>
    <xf numFmtId="0" fontId="18" fillId="0" borderId="0" xfId="0" applyFont="1" applyAlignment="1">
      <alignment horizontal="left" vertical="center" wrapText="1"/>
    </xf>
    <xf numFmtId="0" fontId="39" fillId="0" borderId="0" xfId="2" applyFont="1" applyAlignment="1">
      <alignment vertical="center"/>
    </xf>
    <xf numFmtId="0" fontId="37" fillId="0" borderId="0" xfId="0" applyFont="1" applyAlignment="1">
      <alignment vertical="center"/>
    </xf>
    <xf numFmtId="0" fontId="4" fillId="9" borderId="0" xfId="0" applyFont="1" applyFill="1" applyAlignment="1">
      <alignment vertical="center"/>
    </xf>
    <xf numFmtId="0" fontId="5" fillId="9" borderId="0" xfId="0" applyFont="1" applyFill="1" applyAlignment="1">
      <alignment vertical="center"/>
    </xf>
    <xf numFmtId="0" fontId="61" fillId="0" borderId="0" xfId="3" applyFont="1" applyAlignment="1">
      <alignment vertical="center"/>
    </xf>
    <xf numFmtId="0" fontId="6" fillId="0" borderId="0" xfId="3" applyFont="1" applyAlignment="1">
      <alignment horizontal="center" vertical="center"/>
    </xf>
    <xf numFmtId="0" fontId="65" fillId="0" borderId="0" xfId="3" applyFont="1" applyAlignment="1">
      <alignment horizontal="right" vertical="center" wrapText="1"/>
    </xf>
    <xf numFmtId="0" fontId="66" fillId="0" borderId="0" xfId="3" applyFont="1" applyAlignment="1">
      <alignment vertical="center" wrapText="1"/>
    </xf>
    <xf numFmtId="0" fontId="66" fillId="0" borderId="0" xfId="3" applyFont="1" applyAlignment="1">
      <alignment horizontal="center" vertical="center" wrapText="1"/>
    </xf>
    <xf numFmtId="0" fontId="46" fillId="0" borderId="0" xfId="3" applyFont="1" applyAlignment="1">
      <alignment horizontal="center" vertical="center" wrapText="1"/>
    </xf>
    <xf numFmtId="2" fontId="66" fillId="0" borderId="0" xfId="3" applyNumberFormat="1" applyFont="1" applyAlignment="1">
      <alignment horizontal="center" vertical="center" wrapText="1"/>
    </xf>
    <xf numFmtId="0" fontId="66" fillId="0" borderId="0" xfId="3" applyFont="1" applyAlignment="1">
      <alignment vertical="center"/>
    </xf>
    <xf numFmtId="0" fontId="6" fillId="0" borderId="0" xfId="3" applyFont="1" applyAlignment="1">
      <alignment vertical="center"/>
    </xf>
    <xf numFmtId="0" fontId="9" fillId="0" borderId="0" xfId="3" applyFont="1" applyAlignment="1">
      <alignment vertical="center"/>
    </xf>
    <xf numFmtId="0" fontId="65" fillId="0" borderId="0" xfId="3" applyFont="1" applyAlignment="1">
      <alignment horizontal="center" vertical="center"/>
    </xf>
    <xf numFmtId="0" fontId="67" fillId="0" borderId="0" xfId="3" applyFont="1" applyAlignment="1">
      <alignment horizontal="center" vertical="center"/>
    </xf>
    <xf numFmtId="0" fontId="19" fillId="0" borderId="0" xfId="3" applyFont="1" applyAlignment="1">
      <alignment vertical="center"/>
    </xf>
    <xf numFmtId="0" fontId="20" fillId="0" borderId="0" xfId="3" applyFont="1" applyAlignment="1">
      <alignment vertical="center"/>
    </xf>
    <xf numFmtId="0" fontId="21" fillId="0" borderId="0" xfId="3" applyFont="1" applyAlignment="1">
      <alignment vertical="center" wrapText="1"/>
    </xf>
    <xf numFmtId="0" fontId="22" fillId="0" borderId="0" xfId="3" applyFont="1" applyAlignment="1">
      <alignment vertical="center"/>
    </xf>
    <xf numFmtId="0" fontId="23" fillId="0" borderId="0" xfId="3" applyFont="1" applyAlignment="1">
      <alignment vertical="center"/>
    </xf>
    <xf numFmtId="0" fontId="24" fillId="0" borderId="0" xfId="3" applyFont="1" applyAlignment="1">
      <alignment horizontal="center" vertical="center"/>
    </xf>
    <xf numFmtId="0" fontId="25" fillId="0" borderId="0" xfId="3" applyFont="1" applyAlignment="1">
      <alignment vertical="center"/>
    </xf>
    <xf numFmtId="0" fontId="26" fillId="0" borderId="0" xfId="3" applyFont="1" applyAlignment="1">
      <alignment horizontal="center" vertical="center"/>
    </xf>
    <xf numFmtId="0" fontId="27" fillId="0" borderId="0" xfId="3" applyFont="1" applyAlignment="1">
      <alignment vertical="center"/>
    </xf>
    <xf numFmtId="0" fontId="9" fillId="0" borderId="31" xfId="3" applyFont="1" applyBorder="1" applyAlignment="1">
      <alignment vertical="center"/>
    </xf>
    <xf numFmtId="0" fontId="10" fillId="0" borderId="31" xfId="3" applyFont="1" applyBorder="1" applyAlignment="1">
      <alignment horizontal="right" vertical="center"/>
    </xf>
    <xf numFmtId="0" fontId="8" fillId="0" borderId="32" xfId="3" applyFont="1" applyBorder="1" applyAlignment="1">
      <alignment vertical="center"/>
    </xf>
    <xf numFmtId="0" fontId="10" fillId="0" borderId="0" xfId="3" applyFont="1" applyAlignment="1">
      <alignment horizontal="right" vertical="center"/>
    </xf>
    <xf numFmtId="0" fontId="8" fillId="0" borderId="33" xfId="3" applyFont="1" applyBorder="1" applyAlignment="1">
      <alignment vertical="center"/>
    </xf>
    <xf numFmtId="0" fontId="8" fillId="0" borderId="34" xfId="3" applyFont="1" applyBorder="1" applyAlignment="1">
      <alignment vertical="center"/>
    </xf>
    <xf numFmtId="0" fontId="8" fillId="0" borderId="35" xfId="3" applyFont="1" applyBorder="1" applyAlignment="1">
      <alignment vertical="center"/>
    </xf>
    <xf numFmtId="0" fontId="8" fillId="0" borderId="36" xfId="3" applyFont="1" applyBorder="1" applyAlignment="1">
      <alignment vertical="center"/>
    </xf>
    <xf numFmtId="0" fontId="20" fillId="0" borderId="0" xfId="3" applyFont="1" applyAlignment="1">
      <alignment vertical="center" wrapText="1"/>
    </xf>
    <xf numFmtId="0" fontId="29" fillId="0" borderId="22" xfId="3" applyFont="1" applyBorder="1" applyAlignment="1">
      <alignment horizontal="right" vertical="center"/>
    </xf>
    <xf numFmtId="0" fontId="14" fillId="0" borderId="34" xfId="3" applyFont="1" applyBorder="1" applyAlignment="1">
      <alignment vertical="center"/>
    </xf>
    <xf numFmtId="0" fontId="14" fillId="0" borderId="35" xfId="3" applyFont="1" applyBorder="1" applyAlignment="1">
      <alignment vertical="center"/>
    </xf>
    <xf numFmtId="0" fontId="14" fillId="0" borderId="36" xfId="3" applyFont="1" applyBorder="1" applyAlignment="1">
      <alignment vertical="center"/>
    </xf>
    <xf numFmtId="0" fontId="14" fillId="0" borderId="0" xfId="3" applyFont="1" applyAlignment="1">
      <alignment vertical="center"/>
    </xf>
    <xf numFmtId="0" fontId="19" fillId="0" borderId="0" xfId="3" applyFont="1" applyAlignment="1">
      <alignment vertical="center" wrapText="1"/>
    </xf>
    <xf numFmtId="0" fontId="30" fillId="0" borderId="0" xfId="3" applyFont="1" applyAlignment="1">
      <alignment vertical="center" wrapText="1"/>
    </xf>
    <xf numFmtId="0" fontId="29" fillId="0" borderId="22" xfId="3" applyFont="1" applyBorder="1" applyAlignment="1">
      <alignment horizontal="right" vertical="center" wrapText="1"/>
    </xf>
    <xf numFmtId="0" fontId="31" fillId="0" borderId="0" xfId="3" applyFont="1" applyAlignment="1">
      <alignment vertical="center" wrapText="1"/>
    </xf>
    <xf numFmtId="0" fontId="8" fillId="0" borderId="37" xfId="3" applyFont="1" applyBorder="1" applyAlignment="1">
      <alignment vertical="center"/>
    </xf>
    <xf numFmtId="0" fontId="8" fillId="0" borderId="31" xfId="3" applyFont="1" applyBorder="1" applyAlignment="1">
      <alignment vertical="center"/>
    </xf>
    <xf numFmtId="0" fontId="8" fillId="0" borderId="38" xfId="3" applyFont="1" applyBorder="1" applyAlignment="1">
      <alignment vertical="center"/>
    </xf>
    <xf numFmtId="0" fontId="8" fillId="0" borderId="39" xfId="3" applyFont="1" applyBorder="1" applyAlignment="1">
      <alignment vertical="center"/>
    </xf>
    <xf numFmtId="0" fontId="10" fillId="0" borderId="22" xfId="3" applyFont="1" applyBorder="1" applyAlignment="1">
      <alignment horizontal="right" vertical="center"/>
    </xf>
    <xf numFmtId="0" fontId="8" fillId="0" borderId="2" xfId="3" applyFont="1" applyBorder="1" applyAlignment="1">
      <alignment vertical="center"/>
    </xf>
    <xf numFmtId="0" fontId="8" fillId="0" borderId="3" xfId="3" applyFont="1" applyBorder="1" applyAlignment="1">
      <alignment vertical="center"/>
    </xf>
    <xf numFmtId="0" fontId="9" fillId="0" borderId="0" xfId="3" applyFont="1" applyAlignment="1">
      <alignment horizontal="center" vertical="center"/>
    </xf>
    <xf numFmtId="0" fontId="19" fillId="0" borderId="22" xfId="3" applyFont="1" applyBorder="1" applyAlignment="1">
      <alignment vertical="center" wrapText="1"/>
    </xf>
    <xf numFmtId="0" fontId="8" fillId="0" borderId="22" xfId="3" applyFont="1" applyBorder="1" applyAlignment="1">
      <alignment vertical="center"/>
    </xf>
    <xf numFmtId="0" fontId="8" fillId="0" borderId="34" xfId="3" applyFont="1" applyBorder="1" applyAlignment="1">
      <alignment vertical="center" wrapText="1"/>
    </xf>
    <xf numFmtId="0" fontId="8" fillId="0" borderId="41" xfId="3" applyFont="1" applyBorder="1" applyAlignment="1">
      <alignment vertical="center"/>
    </xf>
    <xf numFmtId="0" fontId="8" fillId="0" borderId="42" xfId="3" applyFont="1" applyBorder="1" applyAlignment="1">
      <alignment vertical="center"/>
    </xf>
    <xf numFmtId="0" fontId="8" fillId="0" borderId="0" xfId="3" applyFont="1" applyAlignment="1">
      <alignment vertical="center" wrapText="1"/>
    </xf>
    <xf numFmtId="0" fontId="28" fillId="0" borderId="0" xfId="3" applyFont="1" applyAlignment="1">
      <alignment horizontal="center" vertical="center"/>
    </xf>
    <xf numFmtId="0" fontId="8" fillId="0" borderId="0" xfId="3" applyFont="1" applyAlignment="1">
      <alignment horizontal="center" vertical="center"/>
    </xf>
    <xf numFmtId="0" fontId="39" fillId="0" borderId="0" xfId="3" applyFont="1" applyAlignment="1">
      <alignment horizontal="center" vertical="center"/>
    </xf>
    <xf numFmtId="1" fontId="46" fillId="0" borderId="0" xfId="3" applyNumberFormat="1" applyFont="1" applyAlignment="1">
      <alignment horizontal="center" vertical="center" wrapText="1"/>
    </xf>
    <xf numFmtId="0" fontId="20" fillId="0" borderId="22" xfId="3" applyFont="1" applyBorder="1" applyAlignment="1">
      <alignment vertical="center" wrapText="1"/>
    </xf>
    <xf numFmtId="0" fontId="69" fillId="0" borderId="0" xfId="3" applyFont="1" applyAlignment="1">
      <alignment vertical="center" wrapText="1"/>
    </xf>
    <xf numFmtId="0" fontId="69" fillId="0" borderId="33" xfId="3" applyFont="1" applyBorder="1" applyAlignment="1">
      <alignment vertical="center" wrapText="1"/>
    </xf>
    <xf numFmtId="0" fontId="54" fillId="0" borderId="31" xfId="3" applyFont="1" applyBorder="1" applyAlignment="1">
      <alignment vertical="center"/>
    </xf>
    <xf numFmtId="0" fontId="54" fillId="0" borderId="32" xfId="3" applyFont="1" applyBorder="1" applyAlignment="1">
      <alignment vertical="center"/>
    </xf>
    <xf numFmtId="49" fontId="34" fillId="0" borderId="28" xfId="0" applyNumberFormat="1" applyFont="1" applyBorder="1" applyAlignment="1">
      <alignment horizontal="left" vertical="center"/>
    </xf>
    <xf numFmtId="0" fontId="34" fillId="0" borderId="29" xfId="0" applyFont="1" applyBorder="1" applyAlignment="1">
      <alignment horizontal="left" vertical="center"/>
    </xf>
    <xf numFmtId="0" fontId="34" fillId="0" borderId="28" xfId="0" applyFont="1" applyBorder="1" applyAlignment="1">
      <alignment horizontal="center" vertical="center"/>
    </xf>
    <xf numFmtId="0" fontId="38" fillId="2" borderId="0" xfId="4" applyFont="1" applyFill="1" applyAlignment="1">
      <alignment horizontal="center" vertical="center"/>
    </xf>
    <xf numFmtId="0" fontId="17" fillId="0" borderId="0" xfId="4" applyFont="1" applyAlignment="1">
      <alignment horizontal="center" vertical="center"/>
    </xf>
    <xf numFmtId="0" fontId="41" fillId="8" borderId="0" xfId="0" applyFont="1" applyFill="1" applyAlignment="1" applyProtection="1">
      <alignment horizontal="center" vertical="center" wrapText="1"/>
      <protection hidden="1"/>
    </xf>
    <xf numFmtId="0" fontId="36" fillId="0" borderId="0" xfId="6" applyFont="1" applyFill="1" applyAlignment="1">
      <alignment horizontal="center" vertical="center"/>
    </xf>
    <xf numFmtId="0" fontId="37" fillId="0" borderId="0" xfId="4" applyFont="1" applyAlignment="1">
      <alignment horizontal="right" vertical="center"/>
    </xf>
    <xf numFmtId="0" fontId="37" fillId="0" borderId="0" xfId="0" applyFont="1" applyAlignment="1">
      <alignment horizontal="right" vertical="center"/>
    </xf>
    <xf numFmtId="0" fontId="39" fillId="0" borderId="0" xfId="0" applyFont="1" applyAlignment="1">
      <alignment horizontal="left" vertical="center"/>
    </xf>
    <xf numFmtId="170" fontId="2" fillId="0" borderId="0" xfId="0" applyNumberFormat="1" applyFont="1" applyAlignment="1">
      <alignment vertical="center"/>
    </xf>
    <xf numFmtId="0" fontId="2" fillId="0" borderId="0" xfId="0" applyFont="1" applyAlignment="1">
      <alignment vertical="center"/>
    </xf>
    <xf numFmtId="165" fontId="2" fillId="0" borderId="0" xfId="0" applyNumberFormat="1" applyFont="1" applyAlignment="1">
      <alignment horizontal="center" vertical="center"/>
    </xf>
    <xf numFmtId="166" fontId="2" fillId="0" borderId="0" xfId="0" applyNumberFormat="1" applyFont="1" applyAlignment="1">
      <alignment horizontal="center" vertical="center"/>
    </xf>
    <xf numFmtId="0" fontId="53" fillId="10" borderId="43" xfId="0" applyFont="1" applyFill="1" applyBorder="1" applyAlignment="1">
      <alignment horizontal="center" vertical="center"/>
    </xf>
    <xf numFmtId="0" fontId="53" fillId="10" borderId="44" xfId="0" applyFont="1" applyFill="1" applyBorder="1" applyAlignment="1">
      <alignment horizontal="center" vertical="center"/>
    </xf>
    <xf numFmtId="0" fontId="53" fillId="10" borderId="45" xfId="0" applyFont="1" applyFill="1" applyBorder="1" applyAlignment="1">
      <alignment horizontal="center" vertical="center"/>
    </xf>
    <xf numFmtId="0" fontId="54" fillId="0" borderId="23" xfId="0" applyFont="1" applyBorder="1" applyAlignment="1">
      <alignment horizontal="center" vertical="center"/>
    </xf>
    <xf numFmtId="0" fontId="54" fillId="0" borderId="4" xfId="0" applyFont="1" applyBorder="1" applyAlignment="1">
      <alignment horizontal="center" vertical="center"/>
    </xf>
    <xf numFmtId="0" fontId="2" fillId="0" borderId="0" xfId="0" applyFont="1" applyAlignment="1">
      <alignment horizontal="center" vertical="center"/>
    </xf>
    <xf numFmtId="0" fontId="51" fillId="0" borderId="0" xfId="0" applyFont="1" applyAlignment="1">
      <alignment horizontal="center" vertical="center"/>
    </xf>
    <xf numFmtId="0" fontId="45" fillId="0" borderId="44" xfId="0" applyFont="1" applyBorder="1" applyAlignment="1">
      <alignment horizontal="center" vertical="center"/>
    </xf>
    <xf numFmtId="0" fontId="46" fillId="0" borderId="44" xfId="0" applyFont="1" applyBorder="1" applyAlignment="1">
      <alignment horizontal="center" vertical="center"/>
    </xf>
    <xf numFmtId="0" fontId="44" fillId="0" borderId="44" xfId="0" applyFont="1" applyBorder="1" applyAlignment="1">
      <alignment horizontal="center" vertical="center"/>
    </xf>
    <xf numFmtId="0" fontId="47" fillId="0" borderId="35" xfId="0" applyFont="1" applyBorder="1" applyAlignment="1">
      <alignment horizontal="center" vertical="center"/>
    </xf>
    <xf numFmtId="0" fontId="1" fillId="0" borderId="0" xfId="0" applyFont="1" applyAlignment="1">
      <alignment horizontal="center" vertical="center"/>
    </xf>
    <xf numFmtId="0" fontId="1" fillId="0" borderId="44" xfId="0" applyFont="1" applyBorder="1" applyAlignment="1">
      <alignment horizontal="center" vertical="center"/>
    </xf>
    <xf numFmtId="0" fontId="47" fillId="0" borderId="44" xfId="0" applyFont="1" applyBorder="1" applyAlignment="1">
      <alignment horizontal="center" vertical="center"/>
    </xf>
    <xf numFmtId="0" fontId="42" fillId="0" borderId="43" xfId="0" applyFont="1" applyBorder="1" applyAlignment="1">
      <alignment horizontal="center" vertical="center"/>
    </xf>
    <xf numFmtId="0" fontId="42" fillId="0" borderId="44" xfId="0" applyFont="1" applyBorder="1" applyAlignment="1">
      <alignment horizontal="center" vertical="center"/>
    </xf>
    <xf numFmtId="0" fontId="42" fillId="0" borderId="45" xfId="0" applyFont="1" applyBorder="1" applyAlignment="1">
      <alignment horizontal="center" vertical="center"/>
    </xf>
    <xf numFmtId="0" fontId="1" fillId="0" borderId="33" xfId="0" applyFont="1" applyBorder="1" applyAlignment="1">
      <alignment horizontal="center" vertical="center" textRotation="90"/>
    </xf>
    <xf numFmtId="167" fontId="1" fillId="0" borderId="0" xfId="0" applyNumberFormat="1" applyFont="1" applyAlignment="1">
      <alignment horizontal="center" vertical="center"/>
    </xf>
    <xf numFmtId="0" fontId="1" fillId="0" borderId="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2" xfId="0" applyFont="1" applyBorder="1" applyAlignment="1" applyProtection="1">
      <alignment vertical="center"/>
      <protection locked="0"/>
    </xf>
    <xf numFmtId="0" fontId="1" fillId="0" borderId="46"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6" fillId="0" borderId="3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6" xfId="3" applyFont="1" applyBorder="1" applyAlignment="1">
      <alignment horizontal="center" vertical="center" wrapText="1"/>
    </xf>
    <xf numFmtId="0" fontId="9" fillId="0" borderId="28" xfId="3" applyFont="1" applyBorder="1" applyAlignment="1">
      <alignment horizontal="center" vertical="center"/>
    </xf>
    <xf numFmtId="0" fontId="6" fillId="0" borderId="35" xfId="3" applyFont="1" applyBorder="1" applyAlignment="1" applyProtection="1">
      <alignment horizontal="center" vertical="center"/>
      <protection locked="0"/>
    </xf>
    <xf numFmtId="0" fontId="60" fillId="0" borderId="37" xfId="3" applyFont="1" applyBorder="1" applyAlignment="1">
      <alignment horizontal="center" vertical="center" wrapText="1"/>
    </xf>
    <xf numFmtId="0" fontId="60" fillId="0" borderId="31" xfId="3" applyFont="1" applyBorder="1" applyAlignment="1">
      <alignment horizontal="center" vertical="center" wrapText="1"/>
    </xf>
    <xf numFmtId="0" fontId="60" fillId="0" borderId="32"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0" xfId="3" applyFont="1" applyAlignment="1">
      <alignment horizontal="center" vertical="center" wrapText="1"/>
    </xf>
    <xf numFmtId="0" fontId="6" fillId="0" borderId="33" xfId="3" applyFont="1" applyBorder="1" applyAlignment="1">
      <alignment horizontal="center" vertical="center" wrapText="1"/>
    </xf>
    <xf numFmtId="0" fontId="66" fillId="0" borderId="0" xfId="3" applyFont="1" applyAlignment="1">
      <alignment horizontal="center" vertical="center" wrapText="1"/>
    </xf>
    <xf numFmtId="0" fontId="6" fillId="0" borderId="1" xfId="3" applyFont="1" applyBorder="1" applyAlignment="1">
      <alignment horizontal="center" vertical="center" wrapText="1"/>
    </xf>
    <xf numFmtId="0" fontId="9" fillId="0" borderId="30" xfId="3" applyFont="1" applyBorder="1" applyAlignment="1">
      <alignment vertical="center"/>
    </xf>
    <xf numFmtId="0" fontId="9" fillId="0" borderId="30" xfId="3" applyFont="1" applyBorder="1" applyAlignment="1">
      <alignment vertical="center" wrapText="1"/>
    </xf>
    <xf numFmtId="0" fontId="9" fillId="0" borderId="28" xfId="3" applyFont="1" applyBorder="1" applyAlignment="1">
      <alignment vertical="center"/>
    </xf>
    <xf numFmtId="0" fontId="6" fillId="0" borderId="35" xfId="3" applyFont="1" applyBorder="1" applyAlignment="1">
      <alignment horizontal="center" vertical="center"/>
    </xf>
    <xf numFmtId="0" fontId="9" fillId="0" borderId="29" xfId="3" applyFont="1" applyBorder="1" applyAlignment="1">
      <alignment vertical="center"/>
    </xf>
    <xf numFmtId="0" fontId="9" fillId="0" borderId="29" xfId="3" applyFont="1" applyBorder="1" applyAlignment="1">
      <alignment horizontal="center" vertical="center"/>
    </xf>
    <xf numFmtId="0" fontId="9" fillId="0" borderId="29" xfId="3" applyFont="1" applyBorder="1" applyAlignment="1">
      <alignment vertical="center" wrapText="1"/>
    </xf>
    <xf numFmtId="0" fontId="7" fillId="0" borderId="27"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29" xfId="3" applyFont="1" applyBorder="1" applyAlignment="1">
      <alignment horizontal="center" vertical="center" wrapText="1"/>
    </xf>
    <xf numFmtId="0" fontId="9" fillId="0" borderId="27" xfId="3" applyFont="1" applyBorder="1" applyAlignment="1">
      <alignment vertical="center"/>
    </xf>
    <xf numFmtId="0" fontId="9" fillId="0" borderId="27" xfId="3" applyFont="1" applyBorder="1" applyAlignment="1">
      <alignment horizontal="center" vertical="center"/>
    </xf>
    <xf numFmtId="0" fontId="6" fillId="0" borderId="29" xfId="3" applyFont="1" applyBorder="1" applyAlignment="1">
      <alignment horizontal="center" vertical="center" wrapText="1"/>
    </xf>
    <xf numFmtId="0" fontId="64" fillId="0" borderId="29" xfId="3" applyFont="1" applyBorder="1" applyAlignment="1">
      <alignment horizontal="center" vertical="center" wrapText="1"/>
    </xf>
    <xf numFmtId="167" fontId="64" fillId="0" borderId="29" xfId="3" applyNumberFormat="1" applyFont="1" applyBorder="1" applyAlignment="1">
      <alignment horizontal="center" vertical="center"/>
    </xf>
    <xf numFmtId="0" fontId="7" fillId="0" borderId="1" xfId="3" applyFont="1" applyBorder="1" applyAlignment="1">
      <alignment horizontal="center" vertical="center" wrapText="1"/>
    </xf>
    <xf numFmtId="0" fontId="13" fillId="0" borderId="0" xfId="3" applyFont="1" applyAlignment="1">
      <alignment horizontal="center" vertical="center"/>
    </xf>
    <xf numFmtId="0" fontId="8" fillId="0" borderId="28" xfId="3" applyFont="1" applyBorder="1" applyAlignment="1">
      <alignment vertical="center"/>
    </xf>
    <xf numFmtId="0" fontId="8" fillId="0" borderId="29" xfId="3" applyFont="1" applyBorder="1" applyAlignment="1">
      <alignment vertical="center"/>
    </xf>
    <xf numFmtId="0" fontId="6" fillId="0" borderId="30" xfId="3" applyFont="1" applyBorder="1" applyAlignment="1">
      <alignment horizontal="center" vertical="center" wrapText="1"/>
    </xf>
    <xf numFmtId="0" fontId="63" fillId="0" borderId="30" xfId="3" applyFont="1" applyBorder="1" applyAlignment="1">
      <alignment horizontal="center" vertical="center" wrapText="1"/>
    </xf>
    <xf numFmtId="0" fontId="64" fillId="0" borderId="30" xfId="3" applyFont="1" applyBorder="1" applyAlignment="1">
      <alignment horizontal="center" vertical="center"/>
    </xf>
    <xf numFmtId="0" fontId="62" fillId="0" borderId="43" xfId="3" applyFont="1" applyBorder="1" applyAlignment="1">
      <alignment horizontal="center" vertical="center" wrapText="1"/>
    </xf>
    <xf numFmtId="0" fontId="62" fillId="0" borderId="44" xfId="3" applyFont="1" applyBorder="1" applyAlignment="1">
      <alignment horizontal="center" vertical="center" wrapText="1"/>
    </xf>
    <xf numFmtId="0" fontId="62" fillId="0" borderId="45" xfId="3" applyFont="1" applyBorder="1" applyAlignment="1">
      <alignment horizontal="center" vertical="center" wrapText="1"/>
    </xf>
    <xf numFmtId="0" fontId="6" fillId="0" borderId="0" xfId="3" applyFont="1" applyAlignment="1">
      <alignment horizontal="center" vertical="center"/>
    </xf>
    <xf numFmtId="0" fontId="32" fillId="0" borderId="3" xfId="3" applyFont="1" applyBorder="1" applyAlignment="1">
      <alignment horizontal="center" vertical="center" wrapText="1"/>
    </xf>
    <xf numFmtId="0" fontId="32" fillId="0" borderId="0" xfId="3" applyFont="1" applyAlignment="1">
      <alignment horizontal="center" vertical="center" wrapText="1"/>
    </xf>
    <xf numFmtId="0" fontId="32" fillId="0" borderId="33" xfId="3" applyFont="1" applyBorder="1" applyAlignment="1">
      <alignment horizontal="center" vertical="center" wrapText="1"/>
    </xf>
    <xf numFmtId="0" fontId="70" fillId="0" borderId="37" xfId="3" applyFont="1" applyBorder="1" applyAlignment="1">
      <alignment horizontal="center" vertical="center"/>
    </xf>
    <xf numFmtId="0" fontId="70" fillId="0" borderId="31" xfId="3" applyFont="1" applyBorder="1" applyAlignment="1">
      <alignment horizontal="center" vertical="center"/>
    </xf>
    <xf numFmtId="0" fontId="69" fillId="0" borderId="22" xfId="3" applyFont="1" applyBorder="1" applyAlignment="1">
      <alignment horizontal="center" vertical="center" wrapText="1"/>
    </xf>
    <xf numFmtId="0" fontId="69" fillId="0" borderId="0" xfId="3" applyFont="1" applyAlignment="1">
      <alignment horizontal="center" vertical="center" wrapText="1"/>
    </xf>
    <xf numFmtId="0" fontId="69" fillId="0" borderId="33" xfId="3" applyFont="1" applyBorder="1" applyAlignment="1">
      <alignment horizontal="center" vertical="center" wrapText="1"/>
    </xf>
    <xf numFmtId="171" fontId="8" fillId="0" borderId="0" xfId="3" applyNumberFormat="1" applyFont="1" applyAlignment="1" applyProtection="1">
      <alignment horizontal="center" vertical="center"/>
      <protection locked="0"/>
    </xf>
    <xf numFmtId="171" fontId="8" fillId="0" borderId="2" xfId="3" applyNumberFormat="1" applyFont="1" applyBorder="1" applyAlignment="1" applyProtection="1">
      <alignment horizontal="center" vertical="center"/>
      <protection locked="0"/>
    </xf>
    <xf numFmtId="0" fontId="25" fillId="0" borderId="40" xfId="3" applyFont="1" applyBorder="1" applyAlignment="1" applyProtection="1">
      <alignment horizontal="center" vertical="center" wrapText="1"/>
      <protection locked="0"/>
    </xf>
    <xf numFmtId="0" fontId="33" fillId="0" borderId="22" xfId="3" applyFont="1" applyBorder="1" applyAlignment="1">
      <alignment horizontal="center" vertical="center" wrapText="1"/>
    </xf>
    <xf numFmtId="0" fontId="33" fillId="0" borderId="0" xfId="3" applyFont="1" applyAlignment="1">
      <alignment horizontal="center" vertical="center" wrapText="1"/>
    </xf>
    <xf numFmtId="0" fontId="19" fillId="0" borderId="47" xfId="3" applyFont="1" applyBorder="1" applyAlignment="1">
      <alignment horizontal="center" vertical="center" wrapText="1"/>
    </xf>
    <xf numFmtId="0" fontId="19" fillId="0" borderId="40" xfId="3" applyFont="1" applyBorder="1" applyAlignment="1">
      <alignment horizontal="center" vertical="center" wrapText="1"/>
    </xf>
    <xf numFmtId="0" fontId="9" fillId="0" borderId="22" xfId="3" applyFont="1" applyBorder="1" applyAlignment="1">
      <alignment horizontal="center" vertical="center"/>
    </xf>
    <xf numFmtId="0" fontId="9" fillId="0" borderId="0" xfId="3" applyFont="1" applyAlignment="1">
      <alignment horizontal="center" vertical="center"/>
    </xf>
    <xf numFmtId="165" fontId="64" fillId="0" borderId="40" xfId="3" applyNumberFormat="1" applyFont="1" applyBorder="1" applyAlignment="1">
      <alignment horizontal="center" vertical="center"/>
    </xf>
    <xf numFmtId="165" fontId="64" fillId="0" borderId="48" xfId="3" applyNumberFormat="1" applyFont="1" applyBorder="1" applyAlignment="1">
      <alignment horizontal="center" vertical="center"/>
    </xf>
    <xf numFmtId="0" fontId="10" fillId="0" borderId="49" xfId="3" applyFont="1" applyBorder="1" applyAlignment="1">
      <alignment horizontal="right" vertical="center"/>
    </xf>
    <xf numFmtId="0" fontId="24" fillId="0" borderId="22" xfId="3" applyFont="1" applyBorder="1" applyAlignment="1">
      <alignment horizontal="center" vertical="center"/>
    </xf>
    <xf numFmtId="0" fontId="24" fillId="0" borderId="0" xfId="3" applyFont="1" applyAlignment="1">
      <alignment horizontal="center" vertical="center"/>
    </xf>
    <xf numFmtId="0" fontId="24" fillId="0" borderId="33" xfId="3" applyFont="1" applyBorder="1" applyAlignment="1">
      <alignment horizontal="center" vertical="center"/>
    </xf>
    <xf numFmtId="0" fontId="24" fillId="0" borderId="34" xfId="3" applyFont="1" applyBorder="1" applyAlignment="1">
      <alignment horizontal="center" vertical="center"/>
    </xf>
    <xf numFmtId="0" fontId="24" fillId="0" borderId="35" xfId="3" applyFont="1" applyBorder="1" applyAlignment="1">
      <alignment horizontal="center" vertical="center"/>
    </xf>
    <xf numFmtId="0" fontId="24" fillId="0" borderId="36" xfId="3" applyFont="1" applyBorder="1" applyAlignment="1">
      <alignment horizontal="center" vertical="center"/>
    </xf>
    <xf numFmtId="0" fontId="25" fillId="0" borderId="37" xfId="3" applyFont="1" applyBorder="1" applyAlignment="1">
      <alignment horizontal="center" vertical="center" wrapText="1"/>
    </xf>
    <xf numFmtId="0" fontId="25" fillId="0" borderId="31" xfId="3" applyFont="1" applyBorder="1" applyAlignment="1">
      <alignment horizontal="center" vertical="center" wrapText="1"/>
    </xf>
    <xf numFmtId="0" fontId="63" fillId="0" borderId="50" xfId="3" applyFont="1" applyBorder="1" applyAlignment="1">
      <alignment horizontal="left" vertical="center"/>
    </xf>
    <xf numFmtId="0" fontId="64" fillId="0" borderId="50" xfId="1" applyNumberFormat="1" applyFont="1" applyBorder="1" applyAlignment="1">
      <alignment horizontal="center" vertical="center"/>
    </xf>
    <xf numFmtId="0" fontId="64" fillId="0" borderId="51" xfId="1" applyNumberFormat="1" applyFont="1" applyBorder="1" applyAlignment="1">
      <alignment horizontal="center" vertical="center"/>
    </xf>
    <xf numFmtId="0" fontId="10" fillId="0" borderId="40" xfId="3" applyFont="1" applyBorder="1" applyAlignment="1" applyProtection="1">
      <alignment horizontal="center" vertical="center"/>
      <protection locked="0"/>
    </xf>
    <xf numFmtId="0" fontId="25" fillId="0" borderId="22" xfId="3" applyFont="1" applyBorder="1" applyAlignment="1">
      <alignment horizontal="center" vertical="center" wrapText="1"/>
    </xf>
    <xf numFmtId="0" fontId="25" fillId="0" borderId="0" xfId="3" applyFont="1" applyAlignment="1">
      <alignment horizontal="center" vertical="center" wrapText="1"/>
    </xf>
    <xf numFmtId="0" fontId="13" fillId="0" borderId="40" xfId="3" applyFont="1" applyBorder="1" applyAlignment="1" applyProtection="1">
      <alignment horizontal="center" vertical="center"/>
      <protection locked="0"/>
    </xf>
    <xf numFmtId="0" fontId="13" fillId="0" borderId="48" xfId="3" applyFont="1" applyBorder="1" applyAlignment="1" applyProtection="1">
      <alignment horizontal="center" vertical="center"/>
      <protection locked="0"/>
    </xf>
    <xf numFmtId="0" fontId="28" fillId="0" borderId="22" xfId="3" applyFont="1" applyBorder="1" applyAlignment="1">
      <alignment horizontal="center" vertical="center"/>
    </xf>
    <xf numFmtId="0" fontId="28" fillId="0" borderId="0" xfId="3" applyFont="1" applyAlignment="1">
      <alignment horizontal="center" vertical="center"/>
    </xf>
    <xf numFmtId="0" fontId="28" fillId="0" borderId="33" xfId="3" applyFont="1" applyBorder="1" applyAlignment="1">
      <alignment horizontal="center" vertical="center"/>
    </xf>
    <xf numFmtId="0" fontId="28" fillId="0" borderId="34" xfId="3" applyFont="1" applyBorder="1" applyAlignment="1">
      <alignment horizontal="center" vertical="center"/>
    </xf>
    <xf numFmtId="0" fontId="28" fillId="0" borderId="35" xfId="3" applyFont="1" applyBorder="1" applyAlignment="1">
      <alignment horizontal="center" vertical="center"/>
    </xf>
    <xf numFmtId="0" fontId="28" fillId="0" borderId="36" xfId="3" applyFont="1" applyBorder="1" applyAlignment="1">
      <alignment horizontal="center" vertical="center"/>
    </xf>
    <xf numFmtId="0" fontId="25" fillId="0" borderId="37" xfId="3" applyFont="1" applyBorder="1" applyAlignment="1">
      <alignment horizontal="right" vertical="center" wrapText="1"/>
    </xf>
    <xf numFmtId="0" fontId="25" fillId="0" borderId="31" xfId="3" applyFont="1" applyBorder="1" applyAlignment="1">
      <alignment horizontal="right" vertical="center" wrapText="1"/>
    </xf>
    <xf numFmtId="0" fontId="64" fillId="0" borderId="50" xfId="3" applyFont="1" applyBorder="1" applyAlignment="1">
      <alignment horizontal="center" vertical="center"/>
    </xf>
    <xf numFmtId="0" fontId="25" fillId="0" borderId="22" xfId="3" applyFont="1" applyBorder="1" applyAlignment="1">
      <alignment horizontal="right" vertical="center" wrapText="1"/>
    </xf>
    <xf numFmtId="0" fontId="25" fillId="0" borderId="0" xfId="3" applyFont="1" applyAlignment="1">
      <alignment horizontal="right" vertical="center" wrapText="1"/>
    </xf>
    <xf numFmtId="0" fontId="64" fillId="0" borderId="40" xfId="3" applyFont="1" applyBorder="1" applyAlignment="1" applyProtection="1">
      <alignment horizontal="center" vertical="center"/>
      <protection locked="0"/>
    </xf>
    <xf numFmtId="0" fontId="9" fillId="0" borderId="40" xfId="3" applyFont="1" applyBorder="1" applyAlignment="1" applyProtection="1">
      <alignment horizontal="center" vertical="center"/>
      <protection locked="0"/>
    </xf>
    <xf numFmtId="0" fontId="24" fillId="0" borderId="37" xfId="3" applyFont="1" applyBorder="1" applyAlignment="1">
      <alignment horizontal="center" vertical="center"/>
    </xf>
    <xf numFmtId="0" fontId="24" fillId="0" borderId="31" xfId="3" applyFont="1" applyBorder="1" applyAlignment="1">
      <alignment horizontal="center" vertical="center"/>
    </xf>
    <xf numFmtId="0" fontId="24" fillId="0" borderId="32" xfId="3" applyFont="1" applyBorder="1" applyAlignment="1">
      <alignment horizontal="center" vertical="center"/>
    </xf>
    <xf numFmtId="0" fontId="21" fillId="0" borderId="0" xfId="3" applyFont="1" applyAlignment="1">
      <alignment horizontal="center" vertical="center" wrapText="1"/>
    </xf>
    <xf numFmtId="0" fontId="19" fillId="0" borderId="0" xfId="3" applyFont="1" applyAlignment="1">
      <alignment horizontal="center" vertical="center"/>
    </xf>
    <xf numFmtId="0" fontId="28" fillId="10" borderId="52" xfId="3" applyFont="1" applyFill="1" applyBorder="1" applyAlignment="1">
      <alignment horizontal="center" vertical="center"/>
    </xf>
    <xf numFmtId="0" fontId="28" fillId="10" borderId="53" xfId="3" applyFont="1" applyFill="1" applyBorder="1" applyAlignment="1">
      <alignment horizontal="center" vertical="center"/>
    </xf>
    <xf numFmtId="0" fontId="28" fillId="10" borderId="54" xfId="3" applyFont="1" applyFill="1" applyBorder="1" applyAlignment="1">
      <alignment horizontal="center" vertical="center"/>
    </xf>
    <xf numFmtId="0" fontId="74" fillId="8" borderId="27" xfId="0" applyFont="1" applyFill="1" applyBorder="1" applyAlignment="1">
      <alignment horizontal="center" vertical="center"/>
    </xf>
    <xf numFmtId="0" fontId="34" fillId="0" borderId="28" xfId="0" applyFont="1" applyBorder="1" applyAlignment="1">
      <alignment horizontal="center" vertical="center"/>
    </xf>
  </cellXfs>
  <cellStyles count="7">
    <cellStyle name="Lien hypertexte" xfId="6" builtinId="8"/>
    <cellStyle name="Milliers" xfId="1" builtinId="3"/>
    <cellStyle name="Normal" xfId="0" builtinId="0"/>
    <cellStyle name="Normal 2" xfId="2" xr:uid="{00000000-0005-0000-0000-000003000000}"/>
    <cellStyle name="Normal 3" xfId="3" xr:uid="{00000000-0005-0000-0000-000004000000}"/>
    <cellStyle name="Normal_feuille r-sultats 10 joueurs" xfId="4" xr:uid="{00000000-0005-0000-0000-000005000000}"/>
    <cellStyle name="Normal_feuille r-sultats 10 joueurs 2" xfId="5" xr:uid="{00000000-0005-0000-0000-000006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2</xdr:row>
      <xdr:rowOff>247650</xdr:rowOff>
    </xdr:from>
    <xdr:to>
      <xdr:col>3</xdr:col>
      <xdr:colOff>1000125</xdr:colOff>
      <xdr:row>7</xdr:row>
      <xdr:rowOff>161925</xdr:rowOff>
    </xdr:to>
    <xdr:pic>
      <xdr:nvPicPr>
        <xdr:cNvPr id="1055" name="Picture 2">
          <a:extLst>
            <a:ext uri="{FF2B5EF4-FFF2-40B4-BE49-F238E27FC236}">
              <a16:creationId xmlns:a16="http://schemas.microsoft.com/office/drawing/2014/main" id="{00000000-0008-0000-0300-00001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038225"/>
          <a:ext cx="1866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13</xdr:col>
      <xdr:colOff>152400</xdr:colOff>
      <xdr:row>2</xdr:row>
      <xdr:rowOff>295275</xdr:rowOff>
    </xdr:from>
    <xdr:to>
      <xdr:col>15</xdr:col>
      <xdr:colOff>533400</xdr:colOff>
      <xdr:row>7</xdr:row>
      <xdr:rowOff>200025</xdr:rowOff>
    </xdr:to>
    <xdr:pic>
      <xdr:nvPicPr>
        <xdr:cNvPr id="1056" name="Image 1">
          <a:extLst>
            <a:ext uri="{FF2B5EF4-FFF2-40B4-BE49-F238E27FC236}">
              <a16:creationId xmlns:a16="http://schemas.microsoft.com/office/drawing/2014/main" id="{00000000-0008-0000-0300-000020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6150" y="1085850"/>
          <a:ext cx="184785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209550</xdr:colOff>
      <xdr:row>10</xdr:row>
      <xdr:rowOff>85725</xdr:rowOff>
    </xdr:from>
    <xdr:to>
      <xdr:col>4</xdr:col>
      <xdr:colOff>400050</xdr:colOff>
      <xdr:row>16</xdr:row>
      <xdr:rowOff>76200</xdr:rowOff>
    </xdr:to>
    <xdr:pic>
      <xdr:nvPicPr>
        <xdr:cNvPr id="2064" name="Image 1">
          <a:extLst>
            <a:ext uri="{FF2B5EF4-FFF2-40B4-BE49-F238E27FC236}">
              <a16:creationId xmlns:a16="http://schemas.microsoft.com/office/drawing/2014/main" id="{00000000-0008-0000-0400-000010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25" y="2457450"/>
          <a:ext cx="203835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if\Downloads\Feuilles%20de%20resultat%20individuel%202012_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illard%20CDBO\Resultats\Copie%20de%202013_Individuel_Libre_N3_Finale_Oi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le de match"/>
      <sheetName val="Résultat Oise"/>
      <sheetName val="Engagement Ligue"/>
      <sheetName val="Résultat ligue"/>
      <sheetName val="Engagement Secteur"/>
      <sheetName val="Résultat secteur"/>
      <sheetName val="Joueurs"/>
    </sheetNames>
    <sheetDataSet>
      <sheetData sheetId="0">
        <row r="2">
          <cell r="R2">
            <v>0</v>
          </cell>
        </row>
        <row r="4">
          <cell r="R4">
            <v>0</v>
          </cell>
          <cell r="S4">
            <v>0</v>
          </cell>
          <cell r="T4">
            <v>0</v>
          </cell>
          <cell r="U4">
            <v>0</v>
          </cell>
        </row>
        <row r="5">
          <cell r="R5">
            <v>0</v>
          </cell>
          <cell r="S5">
            <v>0</v>
          </cell>
          <cell r="T5">
            <v>0</v>
          </cell>
          <cell r="U5">
            <v>0</v>
          </cell>
        </row>
        <row r="6">
          <cell r="R6">
            <v>0</v>
          </cell>
          <cell r="S6">
            <v>0</v>
          </cell>
          <cell r="T6">
            <v>0</v>
          </cell>
          <cell r="U6">
            <v>0</v>
          </cell>
        </row>
        <row r="7">
          <cell r="R7">
            <v>0</v>
          </cell>
          <cell r="S7">
            <v>0</v>
          </cell>
          <cell r="T7">
            <v>0</v>
          </cell>
          <cell r="U7">
            <v>0</v>
          </cell>
        </row>
        <row r="8">
          <cell r="R8">
            <v>0</v>
          </cell>
          <cell r="S8">
            <v>0</v>
          </cell>
          <cell r="T8">
            <v>0</v>
          </cell>
          <cell r="U8">
            <v>0</v>
          </cell>
        </row>
        <row r="9">
          <cell r="R9">
            <v>0</v>
          </cell>
          <cell r="S9">
            <v>0</v>
          </cell>
          <cell r="T9">
            <v>0</v>
          </cell>
          <cell r="U9">
            <v>0</v>
          </cell>
        </row>
        <row r="10">
          <cell r="R10">
            <v>0</v>
          </cell>
          <cell r="U10">
            <v>0</v>
          </cell>
        </row>
        <row r="11">
          <cell r="R11">
            <v>0</v>
          </cell>
          <cell r="U11">
            <v>0</v>
          </cell>
        </row>
        <row r="12">
          <cell r="R12">
            <v>0</v>
          </cell>
          <cell r="U12">
            <v>0</v>
          </cell>
        </row>
        <row r="13">
          <cell r="R13">
            <v>0</v>
          </cell>
          <cell r="U13">
            <v>0</v>
          </cell>
        </row>
        <row r="16">
          <cell r="H16">
            <v>0</v>
          </cell>
          <cell r="I16">
            <v>0</v>
          </cell>
          <cell r="J16">
            <v>0</v>
          </cell>
        </row>
        <row r="17">
          <cell r="H17">
            <v>0</v>
          </cell>
          <cell r="J17">
            <v>0</v>
          </cell>
        </row>
        <row r="20">
          <cell r="H20">
            <v>0</v>
          </cell>
          <cell r="I20">
            <v>0</v>
          </cell>
          <cell r="J20">
            <v>0</v>
          </cell>
        </row>
        <row r="21">
          <cell r="H21">
            <v>0</v>
          </cell>
          <cell r="J21">
            <v>0</v>
          </cell>
        </row>
        <row r="24">
          <cell r="H24">
            <v>0</v>
          </cell>
          <cell r="I24">
            <v>0</v>
          </cell>
          <cell r="J24">
            <v>0</v>
          </cell>
        </row>
        <row r="25">
          <cell r="H25">
            <v>0</v>
          </cell>
          <cell r="J25">
            <v>0</v>
          </cell>
        </row>
        <row r="28">
          <cell r="H28">
            <v>0</v>
          </cell>
          <cell r="I28">
            <v>0</v>
          </cell>
          <cell r="J28">
            <v>0</v>
          </cell>
        </row>
        <row r="29">
          <cell r="H29">
            <v>0</v>
          </cell>
          <cell r="J29">
            <v>0</v>
          </cell>
        </row>
        <row r="32">
          <cell r="H32">
            <v>0</v>
          </cell>
          <cell r="I32">
            <v>0</v>
          </cell>
          <cell r="J32">
            <v>0</v>
          </cell>
        </row>
        <row r="33">
          <cell r="H33">
            <v>0</v>
          </cell>
          <cell r="J33">
            <v>0</v>
          </cell>
        </row>
        <row r="36">
          <cell r="H36">
            <v>0</v>
          </cell>
          <cell r="I36">
            <v>0</v>
          </cell>
          <cell r="J36">
            <v>0</v>
          </cell>
        </row>
        <row r="37">
          <cell r="H37">
            <v>0</v>
          </cell>
          <cell r="J37">
            <v>0</v>
          </cell>
        </row>
        <row r="40">
          <cell r="H40">
            <v>0</v>
          </cell>
          <cell r="I40">
            <v>0</v>
          </cell>
          <cell r="J40">
            <v>0</v>
          </cell>
        </row>
        <row r="41">
          <cell r="H41">
            <v>0</v>
          </cell>
          <cell r="J41">
            <v>0</v>
          </cell>
        </row>
        <row r="44">
          <cell r="H44">
            <v>0</v>
          </cell>
          <cell r="I44">
            <v>0</v>
          </cell>
          <cell r="J44">
            <v>0</v>
          </cell>
        </row>
        <row r="45">
          <cell r="H45">
            <v>0</v>
          </cell>
          <cell r="J45">
            <v>0</v>
          </cell>
        </row>
        <row r="48">
          <cell r="H48">
            <v>0</v>
          </cell>
          <cell r="I48">
            <v>0</v>
          </cell>
          <cell r="J48">
            <v>0</v>
          </cell>
        </row>
        <row r="49">
          <cell r="H49">
            <v>0</v>
          </cell>
          <cell r="J49">
            <v>0</v>
          </cell>
        </row>
        <row r="52">
          <cell r="H52">
            <v>0</v>
          </cell>
          <cell r="I52">
            <v>0</v>
          </cell>
          <cell r="J52">
            <v>0</v>
          </cell>
        </row>
        <row r="53">
          <cell r="H53">
            <v>0</v>
          </cell>
          <cell r="J53">
            <v>0</v>
          </cell>
        </row>
        <row r="84">
          <cell r="AO84">
            <v>0</v>
          </cell>
          <cell r="AP84">
            <v>0</v>
          </cell>
          <cell r="AQ84">
            <v>0</v>
          </cell>
          <cell r="AR84">
            <v>0</v>
          </cell>
          <cell r="AS84">
            <v>0</v>
          </cell>
          <cell r="AT84">
            <v>0</v>
          </cell>
          <cell r="AU84">
            <v>0</v>
          </cell>
          <cell r="AV84">
            <v>1</v>
          </cell>
          <cell r="AW84">
            <v>0</v>
          </cell>
          <cell r="AX84">
            <v>0</v>
          </cell>
          <cell r="AY84">
            <v>0</v>
          </cell>
          <cell r="BV84" t="str">
            <v>NATIONAL 1</v>
          </cell>
          <cell r="BY84" t="str">
            <v>libreNATIONAL 1</v>
          </cell>
          <cell r="BZ84" t="str">
            <v>libre</v>
          </cell>
          <cell r="CA84">
            <v>1</v>
          </cell>
          <cell r="CB84" t="str">
            <v>NATIONAL 1</v>
          </cell>
          <cell r="CC84">
            <v>300</v>
          </cell>
          <cell r="CD84">
            <v>25</v>
          </cell>
        </row>
        <row r="85">
          <cell r="AO85">
            <v>0</v>
          </cell>
          <cell r="AP85">
            <v>0</v>
          </cell>
          <cell r="AQ85">
            <v>0</v>
          </cell>
          <cell r="AR85">
            <v>0</v>
          </cell>
          <cell r="AS85">
            <v>0</v>
          </cell>
          <cell r="AT85">
            <v>0</v>
          </cell>
          <cell r="AU85">
            <v>0</v>
          </cell>
          <cell r="AV85">
            <v>1</v>
          </cell>
          <cell r="AW85">
            <v>0</v>
          </cell>
          <cell r="AX85">
            <v>0</v>
          </cell>
          <cell r="AY85">
            <v>0</v>
          </cell>
          <cell r="BV85" t="str">
            <v>NATIONAL 2</v>
          </cell>
          <cell r="BY85" t="str">
            <v>libreNATIONAL 3</v>
          </cell>
          <cell r="BZ85" t="str">
            <v>libre</v>
          </cell>
          <cell r="CA85">
            <v>2</v>
          </cell>
          <cell r="CB85" t="str">
            <v>NATIONAL 3</v>
          </cell>
          <cell r="CC85">
            <v>200</v>
          </cell>
          <cell r="CD85">
            <v>25</v>
          </cell>
        </row>
        <row r="86">
          <cell r="AT86" t="str">
            <v>P1</v>
          </cell>
          <cell r="AU86" t="str">
            <v>Perdant 1</v>
          </cell>
          <cell r="AV86">
            <v>0</v>
          </cell>
          <cell r="AW86">
            <v>0</v>
          </cell>
          <cell r="AX86">
            <v>0</v>
          </cell>
          <cell r="BV86" t="str">
            <v>NATIONAL 3</v>
          </cell>
          <cell r="BY86" t="str">
            <v>libreREGIONAL 1</v>
          </cell>
          <cell r="BZ86" t="str">
            <v>libre</v>
          </cell>
          <cell r="CA86">
            <v>3</v>
          </cell>
          <cell r="CB86" t="str">
            <v>REGIONAL 1</v>
          </cell>
          <cell r="CC86">
            <v>150</v>
          </cell>
          <cell r="CD86">
            <v>30</v>
          </cell>
        </row>
        <row r="87">
          <cell r="AT87" t="str">
            <v>V1</v>
          </cell>
          <cell r="AU87" t="str">
            <v>Vainqueur 1</v>
          </cell>
          <cell r="AV87">
            <v>0</v>
          </cell>
          <cell r="AW87">
            <v>0</v>
          </cell>
          <cell r="AX87">
            <v>0</v>
          </cell>
          <cell r="BV87" t="str">
            <v>REGIONAL 1</v>
          </cell>
          <cell r="BY87" t="str">
            <v>libreREGIONAL 2</v>
          </cell>
          <cell r="BZ87" t="str">
            <v>libre</v>
          </cell>
          <cell r="CA87">
            <v>4</v>
          </cell>
          <cell r="CB87" t="str">
            <v>REGIONAL 2</v>
          </cell>
          <cell r="CC87">
            <v>100</v>
          </cell>
          <cell r="CD87">
            <v>30</v>
          </cell>
        </row>
        <row r="88">
          <cell r="BV88" t="str">
            <v>REGIONAL 2</v>
          </cell>
          <cell r="BY88" t="str">
            <v>libreREGIONAL 3</v>
          </cell>
          <cell r="BZ88" t="str">
            <v>libre</v>
          </cell>
          <cell r="CA88">
            <v>5</v>
          </cell>
          <cell r="CB88" t="str">
            <v>REGIONAL 3</v>
          </cell>
          <cell r="CC88">
            <v>70</v>
          </cell>
          <cell r="CD88">
            <v>40</v>
          </cell>
        </row>
        <row r="89">
          <cell r="BV89" t="str">
            <v>REGIONAL 3</v>
          </cell>
          <cell r="BY89" t="str">
            <v>libreREGIONAL 4</v>
          </cell>
          <cell r="BZ89" t="str">
            <v>libre</v>
          </cell>
          <cell r="CA89">
            <v>6</v>
          </cell>
          <cell r="CB89" t="str">
            <v>REGIONAL 4</v>
          </cell>
          <cell r="CC89">
            <v>50</v>
          </cell>
          <cell r="CD89">
            <v>50</v>
          </cell>
        </row>
        <row r="90">
          <cell r="AO90">
            <v>0</v>
          </cell>
          <cell r="AP90">
            <v>0</v>
          </cell>
          <cell r="AQ90">
            <v>0</v>
          </cell>
          <cell r="AR90">
            <v>0</v>
          </cell>
          <cell r="AS90">
            <v>0</v>
          </cell>
          <cell r="AT90">
            <v>0</v>
          </cell>
          <cell r="AU90">
            <v>0</v>
          </cell>
          <cell r="AV90">
            <v>1</v>
          </cell>
          <cell r="AW90">
            <v>0</v>
          </cell>
          <cell r="AX90">
            <v>0</v>
          </cell>
          <cell r="AY90">
            <v>0</v>
          </cell>
          <cell r="BV90" t="str">
            <v>REGIONAL 4</v>
          </cell>
          <cell r="BY90" t="str">
            <v>libreESPOIRS</v>
          </cell>
          <cell r="BZ90" t="str">
            <v>libre</v>
          </cell>
          <cell r="CA90">
            <v>7</v>
          </cell>
          <cell r="CB90" t="str">
            <v>ESPOIRS</v>
          </cell>
          <cell r="CC90" t="str">
            <v xml:space="preserve">300 (1) </v>
          </cell>
          <cell r="CD90">
            <v>20</v>
          </cell>
        </row>
        <row r="91">
          <cell r="AO91">
            <v>0</v>
          </cell>
          <cell r="AP91">
            <v>0</v>
          </cell>
          <cell r="AQ91">
            <v>0</v>
          </cell>
          <cell r="AR91">
            <v>0</v>
          </cell>
          <cell r="AS91">
            <v>0</v>
          </cell>
          <cell r="AT91">
            <v>0</v>
          </cell>
          <cell r="AU91">
            <v>0</v>
          </cell>
          <cell r="AV91">
            <v>1</v>
          </cell>
          <cell r="AW91">
            <v>0</v>
          </cell>
          <cell r="AX91">
            <v>0</v>
          </cell>
          <cell r="AY91">
            <v>0</v>
          </cell>
          <cell r="BV91" t="str">
            <v>ESPOIRS</v>
          </cell>
          <cell r="BY91" t="str">
            <v xml:space="preserve">libreJUNIORS Régionaux </v>
          </cell>
          <cell r="BZ91" t="str">
            <v>libre</v>
          </cell>
          <cell r="CA91">
            <v>8</v>
          </cell>
          <cell r="CB91" t="str">
            <v xml:space="preserve">JUNIORS Régionaux </v>
          </cell>
          <cell r="CC91" t="str">
            <v xml:space="preserve">120 (1) </v>
          </cell>
          <cell r="CD91">
            <v>20</v>
          </cell>
        </row>
        <row r="92">
          <cell r="AT92" t="str">
            <v>P2</v>
          </cell>
          <cell r="AU92" t="str">
            <v>Perdant 2</v>
          </cell>
          <cell r="AV92">
            <v>0</v>
          </cell>
          <cell r="AW92">
            <v>0</v>
          </cell>
          <cell r="AX92">
            <v>0</v>
          </cell>
          <cell r="AY92">
            <v>0</v>
          </cell>
          <cell r="BV92" t="str">
            <v xml:space="preserve">JUNIORS Régionaux </v>
          </cell>
          <cell r="BY92" t="str">
            <v xml:space="preserve">libreCADETS Nationaux </v>
          </cell>
          <cell r="BZ92" t="str">
            <v>libre</v>
          </cell>
          <cell r="CA92">
            <v>9</v>
          </cell>
          <cell r="CB92" t="str">
            <v xml:space="preserve">CADETS Nationaux </v>
          </cell>
          <cell r="CC92" t="str">
            <v xml:space="preserve">200 (1) </v>
          </cell>
          <cell r="CD92">
            <v>20</v>
          </cell>
        </row>
        <row r="93">
          <cell r="AT93" t="str">
            <v>V2</v>
          </cell>
          <cell r="AU93" t="str">
            <v>Vainqueur 2</v>
          </cell>
          <cell r="AV93">
            <v>0</v>
          </cell>
          <cell r="AW93">
            <v>0</v>
          </cell>
          <cell r="AX93">
            <v>0</v>
          </cell>
          <cell r="BV93" t="str">
            <v xml:space="preserve">CADETS Nationaux </v>
          </cell>
          <cell r="BY93" t="str">
            <v xml:space="preserve">libreCADETS Régionaux 1 </v>
          </cell>
          <cell r="BZ93" t="str">
            <v>libre</v>
          </cell>
          <cell r="CA93">
            <v>10</v>
          </cell>
          <cell r="CB93" t="str">
            <v xml:space="preserve">CADETS Régionaux 1 </v>
          </cell>
          <cell r="CC93" t="str">
            <v xml:space="preserve">100 (1) </v>
          </cell>
          <cell r="CD93">
            <v>20</v>
          </cell>
        </row>
        <row r="94">
          <cell r="AV94">
            <v>0</v>
          </cell>
          <cell r="BV94" t="str">
            <v xml:space="preserve">CADETS Régionaux 1 </v>
          </cell>
          <cell r="BY94" t="str">
            <v>libreBENJAMIN</v>
          </cell>
          <cell r="BZ94" t="str">
            <v>libre</v>
          </cell>
          <cell r="CA94">
            <v>11</v>
          </cell>
          <cell r="CB94" t="str">
            <v>BENJAMIN</v>
          </cell>
          <cell r="CC94">
            <v>40</v>
          </cell>
          <cell r="CD94">
            <v>50</v>
          </cell>
        </row>
        <row r="95">
          <cell r="BV95" t="str">
            <v>BENJAMIN</v>
          </cell>
          <cell r="BY95" t="str">
            <v xml:space="preserve">libreCADETS Régionaux 2 </v>
          </cell>
          <cell r="BZ95" t="str">
            <v>libre</v>
          </cell>
          <cell r="CA95">
            <v>12</v>
          </cell>
          <cell r="CB95" t="str">
            <v xml:space="preserve">CADETS Régionaux 2 </v>
          </cell>
          <cell r="CC95" t="str">
            <v xml:space="preserve">50 (2) </v>
          </cell>
          <cell r="CD95">
            <v>40</v>
          </cell>
        </row>
        <row r="96">
          <cell r="AO96">
            <v>0</v>
          </cell>
          <cell r="AP96">
            <v>0</v>
          </cell>
          <cell r="AQ96">
            <v>0</v>
          </cell>
          <cell r="AR96">
            <v>0</v>
          </cell>
          <cell r="AS96">
            <v>0</v>
          </cell>
          <cell r="AT96">
            <v>0</v>
          </cell>
          <cell r="AU96">
            <v>0</v>
          </cell>
          <cell r="AV96">
            <v>1</v>
          </cell>
          <cell r="AW96">
            <v>0</v>
          </cell>
          <cell r="AX96">
            <v>0</v>
          </cell>
          <cell r="BV96" t="str">
            <v xml:space="preserve">CADETS Régionaux 2 </v>
          </cell>
          <cell r="BY96" t="str">
            <v>libre4 BILLES</v>
          </cell>
          <cell r="BZ96" t="str">
            <v>libre</v>
          </cell>
          <cell r="CA96">
            <v>13</v>
          </cell>
          <cell r="CB96" t="str">
            <v>4 BILLES</v>
          </cell>
          <cell r="CC96">
            <v>0</v>
          </cell>
          <cell r="CD96">
            <v>0</v>
          </cell>
        </row>
        <row r="97">
          <cell r="AO97">
            <v>0</v>
          </cell>
          <cell r="AP97">
            <v>0</v>
          </cell>
          <cell r="AQ97">
            <v>0</v>
          </cell>
          <cell r="AR97">
            <v>0</v>
          </cell>
          <cell r="AS97">
            <v>0</v>
          </cell>
          <cell r="AT97">
            <v>0</v>
          </cell>
          <cell r="AU97">
            <v>0</v>
          </cell>
          <cell r="AV97">
            <v>1</v>
          </cell>
          <cell r="AW97">
            <v>0</v>
          </cell>
          <cell r="AX97">
            <v>0</v>
          </cell>
          <cell r="BV97" t="str">
            <v>4 BILLES</v>
          </cell>
          <cell r="BY97" t="str">
            <v>libreFEMININES</v>
          </cell>
          <cell r="BZ97" t="str">
            <v>libre</v>
          </cell>
          <cell r="CA97">
            <v>14</v>
          </cell>
          <cell r="CB97" t="str">
            <v>FEMININES</v>
          </cell>
          <cell r="CC97" t="str">
            <v xml:space="preserve">120 (2) </v>
          </cell>
          <cell r="CD97">
            <v>40</v>
          </cell>
        </row>
        <row r="98">
          <cell r="BY98" t="str">
            <v>bandeNATIONAL 1</v>
          </cell>
          <cell r="BZ98" t="str">
            <v>bande</v>
          </cell>
          <cell r="CA98">
            <v>15</v>
          </cell>
          <cell r="CB98" t="str">
            <v>NATIONAL 1</v>
          </cell>
          <cell r="CC98">
            <v>100</v>
          </cell>
          <cell r="CD98">
            <v>40</v>
          </cell>
        </row>
        <row r="99">
          <cell r="BY99" t="str">
            <v>bandeNATIONAL 3</v>
          </cell>
          <cell r="BZ99" t="str">
            <v>bande</v>
          </cell>
          <cell r="CA99">
            <v>16</v>
          </cell>
          <cell r="CB99" t="str">
            <v>NATIONAL 3</v>
          </cell>
          <cell r="CC99">
            <v>80</v>
          </cell>
          <cell r="CD99">
            <v>40</v>
          </cell>
        </row>
        <row r="100">
          <cell r="AO100">
            <v>0</v>
          </cell>
          <cell r="AP100">
            <v>0</v>
          </cell>
          <cell r="AQ100">
            <v>0</v>
          </cell>
          <cell r="AR100">
            <v>0</v>
          </cell>
          <cell r="AS100">
            <v>0</v>
          </cell>
          <cell r="AT100">
            <v>0</v>
          </cell>
          <cell r="AU100">
            <v>0</v>
          </cell>
          <cell r="AV100">
            <v>1</v>
          </cell>
          <cell r="AW100">
            <v>0</v>
          </cell>
          <cell r="AX100">
            <v>0</v>
          </cell>
          <cell r="BY100" t="str">
            <v>bandeREGIONAL 1</v>
          </cell>
          <cell r="BZ100" t="str">
            <v>bande</v>
          </cell>
          <cell r="CA100">
            <v>17</v>
          </cell>
          <cell r="CB100" t="str">
            <v>REGIONAL 1</v>
          </cell>
          <cell r="CC100">
            <v>60</v>
          </cell>
          <cell r="CD100">
            <v>40</v>
          </cell>
        </row>
        <row r="101">
          <cell r="AO101">
            <v>0</v>
          </cell>
          <cell r="AP101">
            <v>0</v>
          </cell>
          <cell r="AQ101">
            <v>0</v>
          </cell>
          <cell r="AR101">
            <v>0</v>
          </cell>
          <cell r="AS101">
            <v>0</v>
          </cell>
          <cell r="AT101">
            <v>0</v>
          </cell>
          <cell r="AU101">
            <v>0</v>
          </cell>
          <cell r="AV101">
            <v>1</v>
          </cell>
          <cell r="AW101">
            <v>0</v>
          </cell>
          <cell r="AX101">
            <v>0</v>
          </cell>
          <cell r="BY101" t="str">
            <v>bandeREGIONAL 2</v>
          </cell>
          <cell r="BZ101" t="str">
            <v>bande</v>
          </cell>
          <cell r="CA101">
            <v>18</v>
          </cell>
          <cell r="CB101" t="str">
            <v>REGIONAL 2</v>
          </cell>
          <cell r="CC101">
            <v>40</v>
          </cell>
          <cell r="CD101">
            <v>50</v>
          </cell>
        </row>
        <row r="102">
          <cell r="BY102" t="str">
            <v>cadreNATIONAL 1</v>
          </cell>
          <cell r="BZ102" t="str">
            <v>cadre</v>
          </cell>
          <cell r="CA102">
            <v>19</v>
          </cell>
          <cell r="CB102" t="str">
            <v>NATIONAL 1</v>
          </cell>
          <cell r="CC102">
            <v>200</v>
          </cell>
          <cell r="CD102">
            <v>20</v>
          </cell>
        </row>
        <row r="103">
          <cell r="BY103" t="str">
            <v>cadreNATIONAL 2</v>
          </cell>
          <cell r="BZ103" t="str">
            <v>cadre</v>
          </cell>
          <cell r="CA103">
            <v>20</v>
          </cell>
          <cell r="CB103" t="str">
            <v>NATIONAL 2</v>
          </cell>
          <cell r="CC103">
            <v>120</v>
          </cell>
          <cell r="CD103">
            <v>25</v>
          </cell>
        </row>
        <row r="104">
          <cell r="BY104" t="str">
            <v xml:space="preserve">cadreESPOIRS </v>
          </cell>
          <cell r="BZ104" t="str">
            <v>cadre</v>
          </cell>
          <cell r="CA104">
            <v>21</v>
          </cell>
          <cell r="CB104" t="str">
            <v xml:space="preserve">ESPOIRS </v>
          </cell>
          <cell r="CC104">
            <v>0</v>
          </cell>
          <cell r="CD104">
            <v>0</v>
          </cell>
        </row>
        <row r="105">
          <cell r="AO105">
            <v>0</v>
          </cell>
          <cell r="AP105">
            <v>0</v>
          </cell>
          <cell r="AQ105">
            <v>0</v>
          </cell>
          <cell r="AR105">
            <v>0</v>
          </cell>
          <cell r="AS105">
            <v>0</v>
          </cell>
          <cell r="AT105">
            <v>0</v>
          </cell>
          <cell r="AU105">
            <v>0</v>
          </cell>
          <cell r="AV105">
            <v>1</v>
          </cell>
          <cell r="AW105">
            <v>0</v>
          </cell>
          <cell r="AX105">
            <v>0</v>
          </cell>
          <cell r="BY105" t="str">
            <v>cadreNATIONAL 3</v>
          </cell>
          <cell r="BZ105" t="str">
            <v>cadre</v>
          </cell>
          <cell r="CA105">
            <v>22</v>
          </cell>
          <cell r="CB105" t="str">
            <v>NATIONAL 3</v>
          </cell>
          <cell r="CC105">
            <v>120</v>
          </cell>
          <cell r="CD105">
            <v>30</v>
          </cell>
        </row>
        <row r="106">
          <cell r="AO106">
            <v>0</v>
          </cell>
          <cell r="AP106">
            <v>0</v>
          </cell>
          <cell r="AQ106">
            <v>0</v>
          </cell>
          <cell r="AR106">
            <v>0</v>
          </cell>
          <cell r="AS106">
            <v>0</v>
          </cell>
          <cell r="AT106">
            <v>0</v>
          </cell>
          <cell r="AU106">
            <v>0</v>
          </cell>
          <cell r="AV106">
            <v>1</v>
          </cell>
          <cell r="AW106">
            <v>0</v>
          </cell>
          <cell r="AX106">
            <v>0</v>
          </cell>
          <cell r="BY106" t="str">
            <v>cadreREGIONAL 1</v>
          </cell>
          <cell r="BZ106" t="str">
            <v>cadre</v>
          </cell>
          <cell r="CA106">
            <v>23</v>
          </cell>
          <cell r="CB106" t="str">
            <v>REGIONAL 1</v>
          </cell>
          <cell r="CC106">
            <v>80</v>
          </cell>
          <cell r="CD106">
            <v>30</v>
          </cell>
        </row>
        <row r="107">
          <cell r="BY107" t="str">
            <v>3 bandesNATIONAL 1</v>
          </cell>
          <cell r="BZ107" t="str">
            <v>3 bandes</v>
          </cell>
          <cell r="CA107">
            <v>24</v>
          </cell>
          <cell r="CB107" t="str">
            <v>NATIONAL 1</v>
          </cell>
          <cell r="CC107">
            <v>35</v>
          </cell>
          <cell r="CD107">
            <v>50</v>
          </cell>
        </row>
        <row r="108">
          <cell r="BY108" t="str">
            <v>3 bandesNATIONAL 2</v>
          </cell>
          <cell r="BZ108" t="str">
            <v>3 bandes</v>
          </cell>
          <cell r="CA108">
            <v>25</v>
          </cell>
          <cell r="CB108" t="str">
            <v>NATIONAL 2</v>
          </cell>
          <cell r="CC108">
            <v>30</v>
          </cell>
          <cell r="CD108">
            <v>50</v>
          </cell>
        </row>
        <row r="109">
          <cell r="AO109">
            <v>0</v>
          </cell>
          <cell r="AP109">
            <v>0</v>
          </cell>
          <cell r="AQ109">
            <v>0</v>
          </cell>
          <cell r="AR109">
            <v>0</v>
          </cell>
          <cell r="AS109">
            <v>0</v>
          </cell>
          <cell r="AT109">
            <v>0</v>
          </cell>
          <cell r="AU109">
            <v>0</v>
          </cell>
          <cell r="AV109">
            <v>1</v>
          </cell>
          <cell r="AW109">
            <v>0</v>
          </cell>
          <cell r="AX109">
            <v>0</v>
          </cell>
          <cell r="BY109" t="str">
            <v>3 bandesNATIONAL 3</v>
          </cell>
          <cell r="BZ109" t="str">
            <v>3 bandes</v>
          </cell>
          <cell r="CA109">
            <v>26</v>
          </cell>
          <cell r="CB109" t="str">
            <v>NATIONAL 3</v>
          </cell>
          <cell r="CC109">
            <v>25</v>
          </cell>
          <cell r="CD109">
            <v>60</v>
          </cell>
        </row>
        <row r="110">
          <cell r="AO110">
            <v>0</v>
          </cell>
          <cell r="AP110">
            <v>0</v>
          </cell>
          <cell r="AQ110">
            <v>0</v>
          </cell>
          <cell r="AR110">
            <v>0</v>
          </cell>
          <cell r="AS110">
            <v>0</v>
          </cell>
          <cell r="AT110">
            <v>0</v>
          </cell>
          <cell r="AU110">
            <v>0</v>
          </cell>
          <cell r="AV110">
            <v>1</v>
          </cell>
          <cell r="AW110">
            <v>0</v>
          </cell>
          <cell r="AX110">
            <v>0</v>
          </cell>
          <cell r="BY110" t="str">
            <v xml:space="preserve">3 bandesFEMININES  </v>
          </cell>
          <cell r="BZ110" t="str">
            <v>3 bandes</v>
          </cell>
          <cell r="CA110">
            <v>27</v>
          </cell>
          <cell r="CB110" t="str">
            <v xml:space="preserve">FEMININES  </v>
          </cell>
          <cell r="CC110">
            <v>0</v>
          </cell>
          <cell r="CD110">
            <v>0</v>
          </cell>
        </row>
        <row r="111">
          <cell r="BY111" t="str">
            <v xml:space="preserve">3 bandesESPOIRS </v>
          </cell>
          <cell r="BZ111" t="str">
            <v>3 bandes</v>
          </cell>
          <cell r="CA111">
            <v>28</v>
          </cell>
          <cell r="CB111" t="str">
            <v xml:space="preserve">ESPOIRS </v>
          </cell>
          <cell r="CC111">
            <v>0</v>
          </cell>
          <cell r="CD111">
            <v>0</v>
          </cell>
        </row>
        <row r="112">
          <cell r="BY112" t="str">
            <v xml:space="preserve">3 bandesCADETS </v>
          </cell>
          <cell r="BZ112" t="str">
            <v>3 bandes</v>
          </cell>
          <cell r="CA112">
            <v>29</v>
          </cell>
          <cell r="CB112" t="str">
            <v xml:space="preserve">CADETS </v>
          </cell>
          <cell r="CC112">
            <v>0</v>
          </cell>
          <cell r="CD112">
            <v>0</v>
          </cell>
        </row>
        <row r="113">
          <cell r="AO113">
            <v>0</v>
          </cell>
          <cell r="AP113">
            <v>0</v>
          </cell>
          <cell r="AQ113">
            <v>0</v>
          </cell>
          <cell r="AR113">
            <v>0</v>
          </cell>
          <cell r="AS113">
            <v>0</v>
          </cell>
          <cell r="AT113">
            <v>0</v>
          </cell>
          <cell r="AU113">
            <v>0</v>
          </cell>
          <cell r="AV113">
            <v>1</v>
          </cell>
          <cell r="AW113">
            <v>0</v>
          </cell>
          <cell r="AX113">
            <v>0</v>
          </cell>
          <cell r="BY113" t="str">
            <v>3 bandesREGIONAL 1</v>
          </cell>
          <cell r="BZ113" t="str">
            <v>3 bandes</v>
          </cell>
          <cell r="CA113">
            <v>30</v>
          </cell>
          <cell r="CB113" t="str">
            <v>REGIONAL 1</v>
          </cell>
          <cell r="CC113">
            <v>20</v>
          </cell>
          <cell r="CD113">
            <v>60</v>
          </cell>
        </row>
        <row r="114">
          <cell r="AO114">
            <v>0</v>
          </cell>
          <cell r="AP114">
            <v>0</v>
          </cell>
          <cell r="AQ114">
            <v>0</v>
          </cell>
          <cell r="AR114">
            <v>0</v>
          </cell>
          <cell r="AS114">
            <v>0</v>
          </cell>
          <cell r="AT114">
            <v>0</v>
          </cell>
          <cell r="AU114">
            <v>0</v>
          </cell>
          <cell r="AV114">
            <v>1</v>
          </cell>
          <cell r="AW114">
            <v>0</v>
          </cell>
          <cell r="AX114">
            <v>0</v>
          </cell>
          <cell r="BY114" t="str">
            <v>3 bandesREGIONAL 2</v>
          </cell>
          <cell r="BZ114" t="str">
            <v>3 bandes</v>
          </cell>
          <cell r="CA114">
            <v>31</v>
          </cell>
          <cell r="CB114" t="str">
            <v>REGIONAL 2</v>
          </cell>
          <cell r="CC114">
            <v>15</v>
          </cell>
          <cell r="CD114">
            <v>60</v>
          </cell>
        </row>
        <row r="117">
          <cell r="AO117">
            <v>0</v>
          </cell>
          <cell r="AP117">
            <v>0</v>
          </cell>
          <cell r="AQ117">
            <v>0</v>
          </cell>
          <cell r="AR117">
            <v>0</v>
          </cell>
          <cell r="AS117">
            <v>0</v>
          </cell>
          <cell r="AT117">
            <v>0</v>
          </cell>
          <cell r="AU117">
            <v>0</v>
          </cell>
          <cell r="AV117">
            <v>1</v>
          </cell>
          <cell r="AW117">
            <v>0</v>
          </cell>
          <cell r="AX117">
            <v>0</v>
          </cell>
        </row>
        <row r="118">
          <cell r="AO118">
            <v>0</v>
          </cell>
          <cell r="AP118">
            <v>0</v>
          </cell>
          <cell r="AQ118">
            <v>0</v>
          </cell>
          <cell r="AR118">
            <v>0</v>
          </cell>
          <cell r="AS118">
            <v>0</v>
          </cell>
          <cell r="AT118">
            <v>0</v>
          </cell>
          <cell r="AU118">
            <v>0</v>
          </cell>
          <cell r="AV118">
            <v>1</v>
          </cell>
          <cell r="AW118">
            <v>0</v>
          </cell>
          <cell r="AX118">
            <v>0</v>
          </cell>
        </row>
        <row r="121">
          <cell r="AO121">
            <v>0</v>
          </cell>
          <cell r="AP121">
            <v>0</v>
          </cell>
          <cell r="AQ121">
            <v>0</v>
          </cell>
          <cell r="AR121">
            <v>0</v>
          </cell>
          <cell r="AS121">
            <v>0</v>
          </cell>
          <cell r="AT121">
            <v>0</v>
          </cell>
          <cell r="AU121">
            <v>0</v>
          </cell>
          <cell r="AV121">
            <v>1</v>
          </cell>
          <cell r="AW121">
            <v>0</v>
          </cell>
          <cell r="AX121">
            <v>0</v>
          </cell>
        </row>
        <row r="122">
          <cell r="AO122">
            <v>0</v>
          </cell>
          <cell r="AP122">
            <v>0</v>
          </cell>
          <cell r="AQ122">
            <v>0</v>
          </cell>
          <cell r="AR122">
            <v>0</v>
          </cell>
          <cell r="AS122">
            <v>0</v>
          </cell>
          <cell r="AT122">
            <v>0</v>
          </cell>
          <cell r="AU122">
            <v>0</v>
          </cell>
          <cell r="AV122">
            <v>1</v>
          </cell>
          <cell r="AW122">
            <v>0</v>
          </cell>
          <cell r="AX122">
            <v>0</v>
          </cell>
        </row>
        <row r="125">
          <cell r="AO125">
            <v>0</v>
          </cell>
          <cell r="AP125">
            <v>0</v>
          </cell>
          <cell r="AQ125">
            <v>0</v>
          </cell>
          <cell r="AR125">
            <v>0</v>
          </cell>
          <cell r="AS125">
            <v>0</v>
          </cell>
          <cell r="AT125">
            <v>0</v>
          </cell>
          <cell r="AU125">
            <v>0</v>
          </cell>
          <cell r="AV125">
            <v>1</v>
          </cell>
          <cell r="AW125">
            <v>0</v>
          </cell>
          <cell r="AX125">
            <v>0</v>
          </cell>
        </row>
        <row r="126">
          <cell r="AO126">
            <v>0</v>
          </cell>
          <cell r="AP126">
            <v>0</v>
          </cell>
          <cell r="AQ126">
            <v>0</v>
          </cell>
          <cell r="AR126">
            <v>0</v>
          </cell>
          <cell r="AS126">
            <v>0</v>
          </cell>
          <cell r="AT126">
            <v>0</v>
          </cell>
          <cell r="AU126">
            <v>0</v>
          </cell>
          <cell r="AV126">
            <v>1</v>
          </cell>
          <cell r="AW126">
            <v>0</v>
          </cell>
          <cell r="AX126">
            <v>0</v>
          </cell>
        </row>
        <row r="148">
          <cell r="BY148" t="str">
            <v>A</v>
          </cell>
          <cell r="BZ148">
            <v>0</v>
          </cell>
          <cell r="CA148" t="e">
            <v>#N/A</v>
          </cell>
          <cell r="CB148">
            <v>1</v>
          </cell>
          <cell r="CC148" t="e">
            <v>#N/A</v>
          </cell>
          <cell r="CD148" t="e">
            <v>#N/A</v>
          </cell>
          <cell r="CE148" t="e">
            <v>#N/A</v>
          </cell>
          <cell r="CF148" t="e">
            <v>#N/A</v>
          </cell>
          <cell r="CG148" t="e">
            <v>#N/A</v>
          </cell>
          <cell r="CH148" t="e">
            <v>#N/A</v>
          </cell>
          <cell r="CI148" t="e">
            <v>#N/A</v>
          </cell>
        </row>
        <row r="149">
          <cell r="BY149" t="str">
            <v>B</v>
          </cell>
          <cell r="BZ149">
            <v>0</v>
          </cell>
          <cell r="CA149" t="e">
            <v>#N/A</v>
          </cell>
          <cell r="CB149">
            <v>2</v>
          </cell>
          <cell r="CC149" t="e">
            <v>#N/A</v>
          </cell>
          <cell r="CD149" t="e">
            <v>#N/A</v>
          </cell>
          <cell r="CE149" t="e">
            <v>#N/A</v>
          </cell>
          <cell r="CF149" t="e">
            <v>#N/A</v>
          </cell>
          <cell r="CG149" t="e">
            <v>#N/A</v>
          </cell>
          <cell r="CH149" t="e">
            <v>#N/A</v>
          </cell>
          <cell r="CI149" t="e">
            <v>#N/A</v>
          </cell>
        </row>
        <row r="150">
          <cell r="BY150" t="str">
            <v>C</v>
          </cell>
          <cell r="BZ150">
            <v>0</v>
          </cell>
          <cell r="CA150" t="e">
            <v>#N/A</v>
          </cell>
          <cell r="CB150">
            <v>3</v>
          </cell>
          <cell r="CC150" t="e">
            <v>#N/A</v>
          </cell>
          <cell r="CD150" t="e">
            <v>#N/A</v>
          </cell>
          <cell r="CE150" t="e">
            <v>#N/A</v>
          </cell>
          <cell r="CF150" t="e">
            <v>#N/A</v>
          </cell>
          <cell r="CG150" t="e">
            <v>#N/A</v>
          </cell>
          <cell r="CH150" t="e">
            <v>#N/A</v>
          </cell>
          <cell r="CI150" t="e">
            <v>#N/A</v>
          </cell>
        </row>
        <row r="151">
          <cell r="AO151">
            <v>0</v>
          </cell>
          <cell r="AP151">
            <v>0</v>
          </cell>
          <cell r="AQ151">
            <v>0</v>
          </cell>
          <cell r="AR151">
            <v>0</v>
          </cell>
          <cell r="AS151">
            <v>0</v>
          </cell>
          <cell r="AT151">
            <v>0</v>
          </cell>
          <cell r="AU151">
            <v>0</v>
          </cell>
          <cell r="AV151" t="e">
            <v>#VALUE!</v>
          </cell>
          <cell r="AW151">
            <v>2.9999999999999997E-8</v>
          </cell>
          <cell r="AX151" t="e">
            <v>#VALUE!</v>
          </cell>
          <cell r="AY151" t="e">
            <v>#N/A</v>
          </cell>
          <cell r="AZ151" t="e">
            <v>#VALUE!</v>
          </cell>
          <cell r="BY151" t="str">
            <v>D</v>
          </cell>
          <cell r="BZ151">
            <v>0</v>
          </cell>
          <cell r="CA151" t="e">
            <v>#N/A</v>
          </cell>
          <cell r="CB151">
            <v>4</v>
          </cell>
          <cell r="CC151" t="e">
            <v>#N/A</v>
          </cell>
          <cell r="CD151" t="e">
            <v>#N/A</v>
          </cell>
          <cell r="CE151" t="e">
            <v>#N/A</v>
          </cell>
          <cell r="CF151" t="e">
            <v>#N/A</v>
          </cell>
          <cell r="CG151" t="e">
            <v>#N/A</v>
          </cell>
          <cell r="CH151" t="e">
            <v>#N/A</v>
          </cell>
          <cell r="CI151" t="e">
            <v>#N/A</v>
          </cell>
        </row>
        <row r="152">
          <cell r="AO152">
            <v>0</v>
          </cell>
          <cell r="AP152">
            <v>0</v>
          </cell>
          <cell r="AQ152">
            <v>0</v>
          </cell>
          <cell r="AR152">
            <v>0</v>
          </cell>
          <cell r="AS152">
            <v>0</v>
          </cell>
          <cell r="AT152">
            <v>0</v>
          </cell>
          <cell r="AU152">
            <v>0</v>
          </cell>
          <cell r="AV152">
            <v>0</v>
          </cell>
          <cell r="AW152">
            <v>2.4999999999999999E-8</v>
          </cell>
          <cell r="AX152" t="e">
            <v>#N/A</v>
          </cell>
          <cell r="AY152" t="e">
            <v>#N/A</v>
          </cell>
          <cell r="AZ152">
            <v>0</v>
          </cell>
          <cell r="BY152" t="str">
            <v>E</v>
          </cell>
          <cell r="BZ152">
            <v>0</v>
          </cell>
          <cell r="CA152" t="e">
            <v>#N/A</v>
          </cell>
          <cell r="CB152">
            <v>5</v>
          </cell>
          <cell r="CC152" t="e">
            <v>#N/A</v>
          </cell>
          <cell r="CD152" t="e">
            <v>#N/A</v>
          </cell>
          <cell r="CE152" t="e">
            <v>#N/A</v>
          </cell>
          <cell r="CF152" t="e">
            <v>#N/A</v>
          </cell>
          <cell r="CG152" t="e">
            <v>#N/A</v>
          </cell>
          <cell r="CH152" t="e">
            <v>#N/A</v>
          </cell>
          <cell r="CI152" t="e">
            <v>#N/A</v>
          </cell>
        </row>
        <row r="153">
          <cell r="AO153">
            <v>0</v>
          </cell>
          <cell r="AP153">
            <v>0</v>
          </cell>
          <cell r="AQ153">
            <v>0</v>
          </cell>
          <cell r="AR153">
            <v>0</v>
          </cell>
          <cell r="AS153">
            <v>0</v>
          </cell>
          <cell r="AT153">
            <v>0</v>
          </cell>
          <cell r="AU153">
            <v>0</v>
          </cell>
          <cell r="AV153">
            <v>0</v>
          </cell>
          <cell r="AW153">
            <v>2E-8</v>
          </cell>
          <cell r="AX153" t="e">
            <v>#N/A</v>
          </cell>
          <cell r="AY153" t="e">
            <v>#N/A</v>
          </cell>
          <cell r="AZ153">
            <v>0</v>
          </cell>
          <cell r="BY153" t="str">
            <v>F</v>
          </cell>
          <cell r="BZ153">
            <v>0</v>
          </cell>
          <cell r="CA153" t="e">
            <v>#N/A</v>
          </cell>
          <cell r="CB153">
            <v>6</v>
          </cell>
          <cell r="CC153" t="e">
            <v>#N/A</v>
          </cell>
          <cell r="CD153" t="e">
            <v>#N/A</v>
          </cell>
          <cell r="CE153" t="e">
            <v>#N/A</v>
          </cell>
          <cell r="CF153" t="e">
            <v>#N/A</v>
          </cell>
          <cell r="CG153" t="e">
            <v>#N/A</v>
          </cell>
          <cell r="CH153" t="e">
            <v>#N/A</v>
          </cell>
          <cell r="CI153" t="e">
            <v>#N/A</v>
          </cell>
        </row>
        <row r="154">
          <cell r="AO154">
            <v>0</v>
          </cell>
          <cell r="AP154">
            <v>0</v>
          </cell>
          <cell r="AQ154">
            <v>0</v>
          </cell>
          <cell r="AR154">
            <v>0</v>
          </cell>
          <cell r="AS154">
            <v>0</v>
          </cell>
          <cell r="AT154">
            <v>0</v>
          </cell>
          <cell r="AU154">
            <v>0</v>
          </cell>
          <cell r="AV154">
            <v>0</v>
          </cell>
          <cell r="AW154">
            <v>1.4999999999999999E-8</v>
          </cell>
          <cell r="AX154" t="e">
            <v>#N/A</v>
          </cell>
          <cell r="AY154" t="e">
            <v>#N/A</v>
          </cell>
          <cell r="AZ154">
            <v>0</v>
          </cell>
          <cell r="CC154">
            <v>0</v>
          </cell>
          <cell r="CD154">
            <v>0</v>
          </cell>
        </row>
        <row r="155">
          <cell r="AO155">
            <v>0</v>
          </cell>
          <cell r="AP155">
            <v>0</v>
          </cell>
          <cell r="AQ155">
            <v>0</v>
          </cell>
          <cell r="AR155">
            <v>0</v>
          </cell>
          <cell r="AS155">
            <v>0</v>
          </cell>
          <cell r="AT155">
            <v>0</v>
          </cell>
          <cell r="AU155">
            <v>0</v>
          </cell>
          <cell r="AV155">
            <v>0</v>
          </cell>
          <cell r="AW155">
            <v>1E-8</v>
          </cell>
          <cell r="AX155" t="e">
            <v>#N/A</v>
          </cell>
          <cell r="AY155" t="e">
            <v>#N/A</v>
          </cell>
          <cell r="AZ155">
            <v>0</v>
          </cell>
          <cell r="CD155" t="str">
            <v>Nom</v>
          </cell>
          <cell r="CE155" t="str">
            <v xml:space="preserve">points </v>
          </cell>
          <cell r="CF155" t="str">
            <v>Reprise</v>
          </cell>
          <cell r="CG155" t="str">
            <v>serie</v>
          </cell>
          <cell r="CH155" t="str">
            <v>Moyenne</v>
          </cell>
          <cell r="CI155" t="str">
            <v>Particuliere</v>
          </cell>
        </row>
        <row r="156">
          <cell r="AO156">
            <v>0</v>
          </cell>
          <cell r="AP156">
            <v>0</v>
          </cell>
          <cell r="AQ156">
            <v>0</v>
          </cell>
          <cell r="AR156">
            <v>0</v>
          </cell>
          <cell r="AS156">
            <v>0</v>
          </cell>
          <cell r="AT156">
            <v>0</v>
          </cell>
          <cell r="AU156">
            <v>0</v>
          </cell>
          <cell r="AV156">
            <v>0</v>
          </cell>
          <cell r="AW156">
            <v>5.0000000000000001E-9</v>
          </cell>
          <cell r="AX156" t="e">
            <v>#N/A</v>
          </cell>
          <cell r="AY156" t="e">
            <v>#N/A</v>
          </cell>
          <cell r="AZ156">
            <v>0</v>
          </cell>
          <cell r="BY156" t="str">
            <v>G</v>
          </cell>
          <cell r="CB156">
            <v>1</v>
          </cell>
          <cell r="CC156" t="e">
            <v>#N/A</v>
          </cell>
          <cell r="CD156" t="e">
            <v>#N/A</v>
          </cell>
          <cell r="CE156" t="e">
            <v>#N/A</v>
          </cell>
          <cell r="CF156" t="e">
            <v>#N/A</v>
          </cell>
          <cell r="CG156" t="e">
            <v>#N/A</v>
          </cell>
          <cell r="CH156" t="e">
            <v>#N/A</v>
          </cell>
          <cell r="CI156" t="e">
            <v>#N/A</v>
          </cell>
          <cell r="CJ156" t="e">
            <v>#N/A</v>
          </cell>
        </row>
        <row r="157">
          <cell r="BY157" t="str">
            <v>H</v>
          </cell>
          <cell r="CB157">
            <v>2</v>
          </cell>
          <cell r="CC157" t="e">
            <v>#N/A</v>
          </cell>
          <cell r="CD157" t="e">
            <v>#N/A</v>
          </cell>
          <cell r="CE157" t="e">
            <v>#N/A</v>
          </cell>
          <cell r="CF157" t="e">
            <v>#N/A</v>
          </cell>
          <cell r="CG157" t="e">
            <v>#N/A</v>
          </cell>
          <cell r="CH157" t="e">
            <v>#N/A</v>
          </cell>
          <cell r="CI157" t="e">
            <v>#N/A</v>
          </cell>
          <cell r="CJ157" t="e">
            <v>#N/A</v>
          </cell>
        </row>
        <row r="158">
          <cell r="BY158" t="str">
            <v>I</v>
          </cell>
          <cell r="CB158">
            <v>3</v>
          </cell>
          <cell r="CC158" t="e">
            <v>#N/A</v>
          </cell>
          <cell r="CD158" t="e">
            <v>#N/A</v>
          </cell>
          <cell r="CE158" t="e">
            <v>#N/A</v>
          </cell>
          <cell r="CF158" t="e">
            <v>#N/A</v>
          </cell>
          <cell r="CG158" t="e">
            <v>#N/A</v>
          </cell>
          <cell r="CH158" t="e">
            <v>#N/A</v>
          </cell>
          <cell r="CI158" t="e">
            <v>#N/A</v>
          </cell>
          <cell r="CJ158" t="e">
            <v>#N/A</v>
          </cell>
        </row>
        <row r="159">
          <cell r="BY159" t="str">
            <v>J</v>
          </cell>
          <cell r="CB159">
            <v>4</v>
          </cell>
          <cell r="CC159" t="e">
            <v>#N/A</v>
          </cell>
          <cell r="CD159" t="e">
            <v>#N/A</v>
          </cell>
          <cell r="CE159" t="e">
            <v>#N/A</v>
          </cell>
          <cell r="CF159" t="e">
            <v>#N/A</v>
          </cell>
          <cell r="CG159" t="e">
            <v>#N/A</v>
          </cell>
          <cell r="CH159" t="e">
            <v>#N/A</v>
          </cell>
          <cell r="CI159" t="e">
            <v>#N/A</v>
          </cell>
          <cell r="CJ159" t="e">
            <v>#N/A</v>
          </cell>
        </row>
        <row r="160">
          <cell r="BY160" t="str">
            <v>K</v>
          </cell>
          <cell r="CB160">
            <v>5</v>
          </cell>
          <cell r="CC160" t="e">
            <v>#N/A</v>
          </cell>
          <cell r="CD160" t="e">
            <v>#N/A</v>
          </cell>
          <cell r="CE160" t="e">
            <v>#N/A</v>
          </cell>
          <cell r="CF160" t="e">
            <v>#N/A</v>
          </cell>
          <cell r="CG160" t="e">
            <v>#N/A</v>
          </cell>
          <cell r="CH160" t="e">
            <v>#N/A</v>
          </cell>
          <cell r="CI160" t="e">
            <v>#N/A</v>
          </cell>
          <cell r="CJ160" t="e">
            <v>#N/A</v>
          </cell>
        </row>
        <row r="161">
          <cell r="BY161" t="str">
            <v>L</v>
          </cell>
          <cell r="CB161">
            <v>6</v>
          </cell>
          <cell r="CC161" t="e">
            <v>#N/A</v>
          </cell>
          <cell r="CD161" t="e">
            <v>#N/A</v>
          </cell>
          <cell r="CE161" t="e">
            <v>#N/A</v>
          </cell>
          <cell r="CF161" t="e">
            <v>#N/A</v>
          </cell>
          <cell r="CG161" t="e">
            <v>#N/A</v>
          </cell>
          <cell r="CH161" t="e">
            <v>#N/A</v>
          </cell>
          <cell r="CI161" t="e">
            <v>#N/A</v>
          </cell>
          <cell r="CJ161" t="e">
            <v>#N/A</v>
          </cell>
        </row>
        <row r="164">
          <cell r="CC164">
            <v>0</v>
          </cell>
          <cell r="CD164">
            <v>0</v>
          </cell>
          <cell r="CE164" t="str">
            <v>P M</v>
          </cell>
          <cell r="CF164" t="str">
            <v xml:space="preserve">points </v>
          </cell>
          <cell r="CG164" t="str">
            <v>Reprise</v>
          </cell>
          <cell r="CH164" t="str">
            <v>serie</v>
          </cell>
          <cell r="CJ164" t="str">
            <v>mp</v>
          </cell>
        </row>
        <row r="165">
          <cell r="BY165">
            <v>0</v>
          </cell>
          <cell r="BZ165">
            <v>0</v>
          </cell>
          <cell r="CA165" t="str">
            <v>0</v>
          </cell>
          <cell r="CB165">
            <v>0</v>
          </cell>
          <cell r="CC165">
            <v>0</v>
          </cell>
          <cell r="CE165" t="e">
            <v>#VALUE!</v>
          </cell>
          <cell r="CF165">
            <v>0</v>
          </cell>
          <cell r="CG165">
            <v>0</v>
          </cell>
          <cell r="CH165">
            <v>0</v>
          </cell>
          <cell r="CI165">
            <v>0</v>
          </cell>
          <cell r="CJ165">
            <v>0</v>
          </cell>
          <cell r="CK165">
            <v>0</v>
          </cell>
          <cell r="CL165">
            <v>0</v>
          </cell>
        </row>
        <row r="166">
          <cell r="BY166">
            <v>0</v>
          </cell>
          <cell r="BZ166">
            <v>0</v>
          </cell>
          <cell r="CA166" t="str">
            <v>0</v>
          </cell>
          <cell r="CB166">
            <v>0</v>
          </cell>
          <cell r="CC166">
            <v>0</v>
          </cell>
          <cell r="CE166" t="e">
            <v>#VALUE!</v>
          </cell>
          <cell r="CF166">
            <v>0</v>
          </cell>
          <cell r="CG166">
            <v>0</v>
          </cell>
          <cell r="CH166">
            <v>0</v>
          </cell>
          <cell r="CI166">
            <v>0</v>
          </cell>
          <cell r="CJ166">
            <v>0</v>
          </cell>
          <cell r="CK166">
            <v>0</v>
          </cell>
          <cell r="CL166">
            <v>0</v>
          </cell>
        </row>
        <row r="167">
          <cell r="BY167">
            <v>0</v>
          </cell>
          <cell r="BZ167">
            <v>0</v>
          </cell>
          <cell r="CA167" t="e">
            <v>#N/A</v>
          </cell>
          <cell r="CB167" t="e">
            <v>#N/A</v>
          </cell>
          <cell r="CC167" t="e">
            <v>#N/A</v>
          </cell>
          <cell r="CE167" t="e">
            <v>#N/A</v>
          </cell>
          <cell r="CF167" t="e">
            <v>#N/A</v>
          </cell>
          <cell r="CG167" t="e">
            <v>#N/A</v>
          </cell>
          <cell r="CH167" t="e">
            <v>#N/A</v>
          </cell>
          <cell r="CI167" t="e">
            <v>#N/A</v>
          </cell>
          <cell r="CJ167" t="e">
            <v>#N/A</v>
          </cell>
          <cell r="CK167" t="e">
            <v>#N/A</v>
          </cell>
          <cell r="CL167" t="e">
            <v>#N/A</v>
          </cell>
        </row>
        <row r="168">
          <cell r="BY168">
            <v>0</v>
          </cell>
          <cell r="BZ168">
            <v>0</v>
          </cell>
          <cell r="CA168" t="e">
            <v>#N/A</v>
          </cell>
          <cell r="CB168" t="e">
            <v>#N/A</v>
          </cell>
          <cell r="CC168" t="e">
            <v>#N/A</v>
          </cell>
          <cell r="CE168" t="e">
            <v>#N/A</v>
          </cell>
          <cell r="CF168" t="e">
            <v>#N/A</v>
          </cell>
          <cell r="CG168" t="e">
            <v>#N/A</v>
          </cell>
          <cell r="CH168" t="e">
            <v>#N/A</v>
          </cell>
          <cell r="CI168" t="e">
            <v>#N/A</v>
          </cell>
          <cell r="CJ168" t="e">
            <v>#N/A</v>
          </cell>
          <cell r="CK168" t="e">
            <v>#N/A</v>
          </cell>
          <cell r="CL168" t="e">
            <v>#N/A</v>
          </cell>
        </row>
        <row r="169">
          <cell r="BY169">
            <v>0</v>
          </cell>
          <cell r="BZ169">
            <v>0</v>
          </cell>
          <cell r="CA169" t="e">
            <v>#N/A</v>
          </cell>
          <cell r="CB169" t="e">
            <v>#N/A</v>
          </cell>
          <cell r="CC169" t="e">
            <v>#N/A</v>
          </cell>
          <cell r="CE169" t="e">
            <v>#N/A</v>
          </cell>
          <cell r="CF169" t="e">
            <v>#N/A</v>
          </cell>
          <cell r="CG169" t="e">
            <v>#N/A</v>
          </cell>
          <cell r="CH169" t="e">
            <v>#N/A</v>
          </cell>
          <cell r="CI169" t="e">
            <v>#N/A</v>
          </cell>
          <cell r="CJ169" t="e">
            <v>#N/A</v>
          </cell>
          <cell r="CK169" t="e">
            <v>#N/A</v>
          </cell>
          <cell r="CL169" t="e">
            <v>#N/A</v>
          </cell>
        </row>
        <row r="170">
          <cell r="BY170">
            <v>0</v>
          </cell>
          <cell r="BZ170">
            <v>0</v>
          </cell>
          <cell r="CA170" t="e">
            <v>#N/A</v>
          </cell>
          <cell r="CB170" t="e">
            <v>#N/A</v>
          </cell>
          <cell r="CC170" t="e">
            <v>#N/A</v>
          </cell>
          <cell r="CE170" t="e">
            <v>#N/A</v>
          </cell>
          <cell r="CF170" t="e">
            <v>#N/A</v>
          </cell>
          <cell r="CG170" t="e">
            <v>#N/A</v>
          </cell>
          <cell r="CH170" t="e">
            <v>#N/A</v>
          </cell>
          <cell r="CI170" t="e">
            <v>#N/A</v>
          </cell>
          <cell r="CJ170" t="e">
            <v>#N/A</v>
          </cell>
          <cell r="CK170" t="e">
            <v>#N/A</v>
          </cell>
          <cell r="CL170" t="e">
            <v>#N/A</v>
          </cell>
        </row>
        <row r="193">
          <cell r="AR193" t="str">
            <v>2 joueurs eliminatoire</v>
          </cell>
          <cell r="AS193" t="str">
            <v>2 joueurs Finale</v>
          </cell>
          <cell r="AT193" t="e">
            <v>#REF!</v>
          </cell>
          <cell r="AU193" t="str">
            <v>3 joueurs Finale directe</v>
          </cell>
          <cell r="AV193" t="str">
            <v>3 joueurs Finale</v>
          </cell>
          <cell r="AW193" t="str">
            <v>3 joueurs eliminatoire 2 poules</v>
          </cell>
          <cell r="AX193" t="str">
            <v>4 joueurs demi finale</v>
          </cell>
          <cell r="AY193" t="str">
            <v>4 joueurs Eliminatoire</v>
          </cell>
          <cell r="AZ193" t="str">
            <v>4 joueurs finale</v>
          </cell>
          <cell r="BA193" t="str">
            <v>5 joueurs eliminatoire</v>
          </cell>
          <cell r="BB193" t="str">
            <v>5 joueurs finale</v>
          </cell>
          <cell r="BC193" t="str">
            <v>6 joueurs eliminatoire</v>
          </cell>
          <cell r="BD193" t="str">
            <v xml:space="preserve">6 joueurs finale </v>
          </cell>
          <cell r="BE193" t="str">
            <v>6 joueurs finale 2 poules</v>
          </cell>
        </row>
        <row r="194">
          <cell r="AR194" t="str">
            <v>A</v>
          </cell>
          <cell r="AS194" t="str">
            <v>A</v>
          </cell>
          <cell r="AT194" t="str">
            <v>A</v>
          </cell>
          <cell r="AU194" t="str">
            <v>A</v>
          </cell>
          <cell r="AV194" t="str">
            <v>A</v>
          </cell>
          <cell r="AW194" t="str">
            <v>A</v>
          </cell>
          <cell r="AX194" t="str">
            <v>A</v>
          </cell>
          <cell r="AY194" t="str">
            <v>A</v>
          </cell>
          <cell r="AZ194" t="str">
            <v>A</v>
          </cell>
          <cell r="BA194" t="str">
            <v>A</v>
          </cell>
          <cell r="BB194" t="str">
            <v>A</v>
          </cell>
          <cell r="BC194" t="str">
            <v>A</v>
          </cell>
          <cell r="BD194" t="str">
            <v>G</v>
          </cell>
          <cell r="BE194" t="str">
            <v>G</v>
          </cell>
        </row>
        <row r="195">
          <cell r="AR195" t="str">
            <v>B</v>
          </cell>
          <cell r="AS195" t="str">
            <v>B</v>
          </cell>
          <cell r="AT195" t="str">
            <v>B</v>
          </cell>
          <cell r="AU195" t="str">
            <v>B</v>
          </cell>
          <cell r="AV195" t="str">
            <v>B</v>
          </cell>
          <cell r="AW195" t="str">
            <v>B</v>
          </cell>
          <cell r="AX195" t="str">
            <v>B</v>
          </cell>
          <cell r="AY195" t="str">
            <v>B</v>
          </cell>
          <cell r="AZ195" t="str">
            <v>B</v>
          </cell>
          <cell r="BA195" t="str">
            <v>B</v>
          </cell>
          <cell r="BB195" t="str">
            <v>B</v>
          </cell>
          <cell r="BC195" t="str">
            <v>B</v>
          </cell>
          <cell r="BD195" t="str">
            <v>H</v>
          </cell>
          <cell r="BE195" t="str">
            <v>H</v>
          </cell>
        </row>
        <row r="196">
          <cell r="AR196" t="str">
            <v>-</v>
          </cell>
          <cell r="AS196" t="str">
            <v>@</v>
          </cell>
          <cell r="AT196" t="str">
            <v>C</v>
          </cell>
          <cell r="AU196" t="str">
            <v>C</v>
          </cell>
          <cell r="AV196" t="str">
            <v>C</v>
          </cell>
          <cell r="AW196" t="str">
            <v>C</v>
          </cell>
          <cell r="AX196" t="str">
            <v>C</v>
          </cell>
          <cell r="AY196" t="str">
            <v>C</v>
          </cell>
          <cell r="AZ196" t="str">
            <v>C</v>
          </cell>
          <cell r="BA196" t="str">
            <v>C</v>
          </cell>
          <cell r="BB196" t="str">
            <v>C</v>
          </cell>
          <cell r="BC196" t="str">
            <v>C</v>
          </cell>
          <cell r="BD196" t="str">
            <v>I</v>
          </cell>
          <cell r="BE196" t="str">
            <v>I</v>
          </cell>
        </row>
        <row r="197">
          <cell r="AR197" t="str">
            <v>-</v>
          </cell>
          <cell r="AS197" t="str">
            <v>@</v>
          </cell>
          <cell r="AT197" t="str">
            <v>-</v>
          </cell>
          <cell r="AU197" t="str">
            <v>-</v>
          </cell>
          <cell r="AV197" t="str">
            <v>-</v>
          </cell>
          <cell r="AW197" t="str">
            <v>D</v>
          </cell>
          <cell r="AX197" t="str">
            <v>D</v>
          </cell>
          <cell r="AY197" t="str">
            <v>D</v>
          </cell>
          <cell r="AZ197" t="str">
            <v>D</v>
          </cell>
          <cell r="BA197" t="str">
            <v>D</v>
          </cell>
          <cell r="BB197" t="str">
            <v>D</v>
          </cell>
          <cell r="BC197" t="str">
            <v>D</v>
          </cell>
          <cell r="BD197" t="str">
            <v>J</v>
          </cell>
          <cell r="BE197" t="str">
            <v>J</v>
          </cell>
        </row>
        <row r="198">
          <cell r="AR198" t="str">
            <v>-</v>
          </cell>
          <cell r="AS198" t="str">
            <v>@</v>
          </cell>
          <cell r="AT198" t="str">
            <v>-</v>
          </cell>
          <cell r="AU198" t="str">
            <v>-</v>
          </cell>
          <cell r="AV198" t="str">
            <v>-</v>
          </cell>
          <cell r="AW198" t="str">
            <v>E</v>
          </cell>
          <cell r="AY198" t="str">
            <v>-</v>
          </cell>
          <cell r="BA198" t="str">
            <v>E</v>
          </cell>
          <cell r="BB198" t="str">
            <v>E</v>
          </cell>
          <cell r="BC198" t="str">
            <v>E</v>
          </cell>
          <cell r="BD198" t="str">
            <v>K</v>
          </cell>
          <cell r="BE198" t="str">
            <v>K</v>
          </cell>
        </row>
        <row r="199">
          <cell r="AR199" t="str">
            <v>-</v>
          </cell>
          <cell r="AS199" t="str">
            <v>@</v>
          </cell>
          <cell r="AT199" t="str">
            <v>-</v>
          </cell>
          <cell r="AU199" t="str">
            <v>-</v>
          </cell>
          <cell r="AV199" t="str">
            <v>-</v>
          </cell>
          <cell r="AW199" t="str">
            <v>F</v>
          </cell>
          <cell r="AY199" t="str">
            <v>-</v>
          </cell>
          <cell r="BA199" t="str">
            <v>-</v>
          </cell>
          <cell r="BB199" t="str">
            <v>-</v>
          </cell>
          <cell r="BC199" t="str">
            <v>F</v>
          </cell>
          <cell r="BD199" t="str">
            <v>L</v>
          </cell>
          <cell r="BE199" t="str">
            <v>L</v>
          </cell>
        </row>
        <row r="200">
          <cell r="AR200" t="str">
            <v>Tour 1</v>
          </cell>
          <cell r="AS200" t="str">
            <v>Tour 1</v>
          </cell>
          <cell r="AT200" t="str">
            <v>Tour 1</v>
          </cell>
          <cell r="AU200" t="str">
            <v>Tour 1</v>
          </cell>
          <cell r="AV200" t="str">
            <v>Tour 1</v>
          </cell>
          <cell r="AW200" t="str">
            <v>Tour 1</v>
          </cell>
          <cell r="AX200" t="str">
            <v>Tour 1</v>
          </cell>
          <cell r="AY200" t="str">
            <v>Tour 1</v>
          </cell>
          <cell r="AZ200" t="str">
            <v>Tour 1</v>
          </cell>
          <cell r="BA200" t="str">
            <v>Tour 1</v>
          </cell>
          <cell r="BB200" t="str">
            <v>Tour 1</v>
          </cell>
          <cell r="BC200" t="str">
            <v>Tour 1</v>
          </cell>
          <cell r="BD200" t="str">
            <v>Tour 1</v>
          </cell>
          <cell r="BE200" t="str">
            <v>Tour 1</v>
          </cell>
        </row>
        <row r="201">
          <cell r="AR201" t="str">
            <v>Tour 1</v>
          </cell>
          <cell r="AS201" t="str">
            <v>Tour 1</v>
          </cell>
          <cell r="AT201" t="str">
            <v>Tour 1</v>
          </cell>
          <cell r="AU201" t="str">
            <v>Tour 4</v>
          </cell>
          <cell r="AV201" t="str">
            <v>Tour 1</v>
          </cell>
          <cell r="AW201" t="str">
            <v>Tour 1</v>
          </cell>
          <cell r="AX201" t="str">
            <v>Tour 1</v>
          </cell>
          <cell r="AY201" t="str">
            <v>Tour 1</v>
          </cell>
          <cell r="AZ201" t="str">
            <v>Tour 1</v>
          </cell>
          <cell r="BA201" t="str">
            <v>Tour 1</v>
          </cell>
          <cell r="BB201" t="str">
            <v>Tour 1</v>
          </cell>
          <cell r="BC201" t="str">
            <v>Tour 1</v>
          </cell>
          <cell r="BD201" t="str">
            <v>Tour 1</v>
          </cell>
          <cell r="BE201" t="str">
            <v>Tour 1</v>
          </cell>
        </row>
        <row r="202">
          <cell r="AR202" t="str">
            <v>Tour 2</v>
          </cell>
          <cell r="AS202" t="str">
            <v>Tour 2</v>
          </cell>
          <cell r="AT202" t="str">
            <v>Tour 2</v>
          </cell>
          <cell r="AU202" t="str">
            <v>Tour 2</v>
          </cell>
          <cell r="AV202" t="str">
            <v>Tour 2</v>
          </cell>
          <cell r="AW202" t="str">
            <v>Tour 2</v>
          </cell>
          <cell r="AX202" t="str">
            <v>Tour 2</v>
          </cell>
          <cell r="AY202" t="str">
            <v>Tour 2</v>
          </cell>
          <cell r="AZ202" t="str">
            <v>Tour 2</v>
          </cell>
          <cell r="BA202" t="str">
            <v>Tour 2</v>
          </cell>
          <cell r="BB202" t="str">
            <v>Tour 2</v>
          </cell>
          <cell r="BC202" t="str">
            <v>Tour 1</v>
          </cell>
          <cell r="BD202" t="str">
            <v>Tour 2</v>
          </cell>
          <cell r="BE202" t="str">
            <v>Tour 2</v>
          </cell>
        </row>
        <row r="203">
          <cell r="AR203" t="str">
            <v>Tour 2</v>
          </cell>
          <cell r="AS203" t="str">
            <v>Tour 2</v>
          </cell>
          <cell r="AT203" t="str">
            <v>Tour 2</v>
          </cell>
          <cell r="AU203" t="str">
            <v>Tour 5</v>
          </cell>
          <cell r="AV203" t="str">
            <v>Tour 2</v>
          </cell>
          <cell r="AW203" t="str">
            <v>Tour 2</v>
          </cell>
          <cell r="AX203" t="str">
            <v>Tour 2</v>
          </cell>
          <cell r="AY203" t="str">
            <v>Tour 2</v>
          </cell>
          <cell r="AZ203" t="str">
            <v>Tour 2</v>
          </cell>
          <cell r="BA203" t="str">
            <v>Tour 2</v>
          </cell>
          <cell r="BB203" t="str">
            <v>Tour 2</v>
          </cell>
          <cell r="BC203" t="str">
            <v>Tour 2</v>
          </cell>
          <cell r="BD203" t="str">
            <v>Tour 2</v>
          </cell>
          <cell r="BE203" t="str">
            <v>Tour 2</v>
          </cell>
        </row>
        <row r="204">
          <cell r="AR204" t="str">
            <v>-</v>
          </cell>
          <cell r="AS204" t="str">
            <v>Tour 3</v>
          </cell>
          <cell r="AT204" t="str">
            <v>Tour 3</v>
          </cell>
          <cell r="AU204" t="str">
            <v>Tour 3</v>
          </cell>
          <cell r="AV204" t="str">
            <v>Tour 3</v>
          </cell>
          <cell r="AW204" t="str">
            <v>Tour 3</v>
          </cell>
          <cell r="AX204" t="str">
            <v>Tour 3</v>
          </cell>
          <cell r="AY204" t="str">
            <v>-</v>
          </cell>
          <cell r="AZ204" t="str">
            <v>Tour 3</v>
          </cell>
          <cell r="BA204" t="str">
            <v>Tour 3</v>
          </cell>
          <cell r="BB204" t="str">
            <v>Tour 3</v>
          </cell>
          <cell r="BC204" t="str">
            <v>Tour 2</v>
          </cell>
          <cell r="BD204" t="str">
            <v>Tour 3</v>
          </cell>
          <cell r="BE204" t="str">
            <v>Tour 3</v>
          </cell>
        </row>
        <row r="205">
          <cell r="AR205" t="str">
            <v>-</v>
          </cell>
          <cell r="AS205" t="str">
            <v>Tour 3</v>
          </cell>
          <cell r="AT205" t="str">
            <v>Tour 3</v>
          </cell>
          <cell r="AU205" t="str">
            <v>Tour 6</v>
          </cell>
          <cell r="AV205" t="str">
            <v>Tour 3</v>
          </cell>
          <cell r="AW205" t="str">
            <v>Tour 3</v>
          </cell>
          <cell r="AX205" t="str">
            <v>Tour 3</v>
          </cell>
          <cell r="AY205" t="str">
            <v>-</v>
          </cell>
          <cell r="AZ205" t="str">
            <v>Tour 3</v>
          </cell>
          <cell r="BA205" t="str">
            <v>-</v>
          </cell>
          <cell r="BB205" t="str">
            <v>Tour 3</v>
          </cell>
          <cell r="BC205" t="str">
            <v>Tour 2</v>
          </cell>
          <cell r="BD205" t="str">
            <v>Tour 3</v>
          </cell>
          <cell r="BE205" t="str">
            <v>Tour 3</v>
          </cell>
        </row>
        <row r="206">
          <cell r="AR206" t="str">
            <v>-</v>
          </cell>
          <cell r="AS206" t="str">
            <v>-</v>
          </cell>
          <cell r="AT206" t="str">
            <v>-</v>
          </cell>
          <cell r="AU206" t="str">
            <v>-</v>
          </cell>
          <cell r="AV206" t="str">
            <v>-</v>
          </cell>
          <cell r="AW206" t="str">
            <v>-</v>
          </cell>
          <cell r="AX206" t="str">
            <v>-</v>
          </cell>
          <cell r="AY206" t="str">
            <v>-</v>
          </cell>
          <cell r="AZ206" t="str">
            <v>-</v>
          </cell>
          <cell r="BA206" t="str">
            <v>-</v>
          </cell>
          <cell r="BB206" t="str">
            <v>Tour 4</v>
          </cell>
          <cell r="BC206" t="str">
            <v>-</v>
          </cell>
          <cell r="BD206" t="str">
            <v>Finale</v>
          </cell>
          <cell r="BE206" t="str">
            <v>Finale</v>
          </cell>
        </row>
        <row r="207">
          <cell r="AR207" t="str">
            <v>-</v>
          </cell>
          <cell r="AS207" t="str">
            <v>-</v>
          </cell>
          <cell r="AT207" t="str">
            <v>-</v>
          </cell>
          <cell r="AU207" t="str">
            <v>-</v>
          </cell>
          <cell r="AV207" t="str">
            <v>-</v>
          </cell>
          <cell r="AW207" t="str">
            <v>-</v>
          </cell>
          <cell r="AX207" t="str">
            <v>-</v>
          </cell>
          <cell r="AY207" t="str">
            <v>-</v>
          </cell>
          <cell r="AZ207" t="str">
            <v>-</v>
          </cell>
          <cell r="BA207" t="str">
            <v>-</v>
          </cell>
          <cell r="BB207" t="str">
            <v>Tour 4</v>
          </cell>
          <cell r="BC207" t="str">
            <v>-</v>
          </cell>
          <cell r="BD207" t="str">
            <v>-</v>
          </cell>
          <cell r="BE207" t="str">
            <v>-</v>
          </cell>
        </row>
        <row r="208">
          <cell r="AR208" t="str">
            <v>-</v>
          </cell>
          <cell r="AS208" t="str">
            <v>-</v>
          </cell>
          <cell r="AT208" t="str">
            <v>-</v>
          </cell>
          <cell r="AU208" t="str">
            <v>-</v>
          </cell>
          <cell r="AV208" t="str">
            <v>-</v>
          </cell>
          <cell r="AW208" t="str">
            <v>-</v>
          </cell>
          <cell r="AX208" t="str">
            <v>-</v>
          </cell>
          <cell r="AY208" t="str">
            <v>-</v>
          </cell>
          <cell r="AZ208" t="str">
            <v>-</v>
          </cell>
          <cell r="BA208" t="str">
            <v>-</v>
          </cell>
          <cell r="BB208" t="str">
            <v>Tour 5</v>
          </cell>
          <cell r="BC208" t="str">
            <v>-</v>
          </cell>
          <cell r="BD208" t="str">
            <v>-</v>
          </cell>
          <cell r="BE208" t="str">
            <v>Class</v>
          </cell>
        </row>
        <row r="209">
          <cell r="AR209" t="str">
            <v>-</v>
          </cell>
          <cell r="AS209" t="str">
            <v>-</v>
          </cell>
          <cell r="AT209" t="str">
            <v>-</v>
          </cell>
          <cell r="AU209" t="str">
            <v>-</v>
          </cell>
          <cell r="AV209" t="str">
            <v>-</v>
          </cell>
          <cell r="AW209" t="str">
            <v>-</v>
          </cell>
          <cell r="AX209" t="str">
            <v>-</v>
          </cell>
          <cell r="AY209" t="str">
            <v>-</v>
          </cell>
          <cell r="AZ209" t="str">
            <v>-</v>
          </cell>
          <cell r="BA209" t="str">
            <v>-</v>
          </cell>
          <cell r="BB209" t="str">
            <v>Tour 5</v>
          </cell>
          <cell r="BC209" t="str">
            <v>-</v>
          </cell>
          <cell r="BD209" t="str">
            <v>-</v>
          </cell>
          <cell r="BE209" t="str">
            <v>Class</v>
          </cell>
        </row>
        <row r="211">
          <cell r="AR211">
            <v>2</v>
          </cell>
          <cell r="AS211">
            <v>2</v>
          </cell>
          <cell r="AT211">
            <v>3</v>
          </cell>
          <cell r="AU211">
            <v>3</v>
          </cell>
          <cell r="AV211">
            <v>3</v>
          </cell>
          <cell r="AW211">
            <v>3</v>
          </cell>
          <cell r="AX211">
            <v>4</v>
          </cell>
          <cell r="AY211">
            <v>4</v>
          </cell>
          <cell r="AZ211">
            <v>4</v>
          </cell>
          <cell r="BA211">
            <v>5</v>
          </cell>
          <cell r="BB211">
            <v>5</v>
          </cell>
          <cell r="BC211">
            <v>6</v>
          </cell>
          <cell r="BD211">
            <v>6</v>
          </cell>
          <cell r="BE211">
            <v>6</v>
          </cell>
        </row>
        <row r="212">
          <cell r="AR212">
            <v>1</v>
          </cell>
          <cell r="AS212">
            <v>1</v>
          </cell>
          <cell r="AT212">
            <v>2</v>
          </cell>
          <cell r="AU212">
            <v>2</v>
          </cell>
          <cell r="AV212">
            <v>2</v>
          </cell>
          <cell r="AW212">
            <v>2</v>
          </cell>
          <cell r="AX212">
            <v>3</v>
          </cell>
          <cell r="AY212">
            <v>4</v>
          </cell>
          <cell r="AZ212">
            <v>3</v>
          </cell>
          <cell r="BA212">
            <v>4</v>
          </cell>
          <cell r="BB212">
            <v>4</v>
          </cell>
          <cell r="BC212">
            <v>5</v>
          </cell>
          <cell r="BD212">
            <v>5</v>
          </cell>
          <cell r="BE212">
            <v>5</v>
          </cell>
        </row>
        <row r="213">
          <cell r="AR213">
            <v>0</v>
          </cell>
          <cell r="AS213">
            <v>0</v>
          </cell>
          <cell r="AT213">
            <v>1</v>
          </cell>
          <cell r="AU213">
            <v>1</v>
          </cell>
          <cell r="AV213">
            <v>1</v>
          </cell>
          <cell r="AW213">
            <v>1</v>
          </cell>
          <cell r="AX213">
            <v>2</v>
          </cell>
          <cell r="AY213">
            <v>4</v>
          </cell>
          <cell r="AZ213">
            <v>2</v>
          </cell>
          <cell r="BA213">
            <v>3</v>
          </cell>
          <cell r="BB213">
            <v>3</v>
          </cell>
          <cell r="BC213">
            <v>4</v>
          </cell>
          <cell r="BD213">
            <v>4</v>
          </cell>
          <cell r="BE213">
            <v>4</v>
          </cell>
        </row>
        <row r="214">
          <cell r="AR214">
            <v>0</v>
          </cell>
          <cell r="AS214">
            <v>0</v>
          </cell>
          <cell r="AT214">
            <v>0</v>
          </cell>
          <cell r="AU214">
            <v>3</v>
          </cell>
          <cell r="AV214">
            <v>0</v>
          </cell>
          <cell r="AW214">
            <v>3</v>
          </cell>
          <cell r="AX214">
            <v>1</v>
          </cell>
          <cell r="AY214">
            <v>4</v>
          </cell>
          <cell r="AZ214">
            <v>1</v>
          </cell>
          <cell r="BA214">
            <v>2</v>
          </cell>
          <cell r="BB214">
            <v>2</v>
          </cell>
          <cell r="BC214">
            <v>3</v>
          </cell>
          <cell r="BD214">
            <v>3</v>
          </cell>
          <cell r="BE214">
            <v>3</v>
          </cell>
        </row>
        <row r="215">
          <cell r="AR215">
            <v>0</v>
          </cell>
          <cell r="AS215">
            <v>0</v>
          </cell>
          <cell r="AT215">
            <v>0</v>
          </cell>
          <cell r="AU215">
            <v>2</v>
          </cell>
          <cell r="AV215">
            <v>0</v>
          </cell>
          <cell r="AW215">
            <v>2</v>
          </cell>
          <cell r="AX215">
            <v>0</v>
          </cell>
          <cell r="AY215">
            <v>0</v>
          </cell>
          <cell r="AZ215">
            <v>0</v>
          </cell>
          <cell r="BA215">
            <v>1</v>
          </cell>
          <cell r="BB215">
            <v>1</v>
          </cell>
          <cell r="BC215">
            <v>2</v>
          </cell>
          <cell r="BD215">
            <v>2</v>
          </cell>
          <cell r="BE215">
            <v>2</v>
          </cell>
        </row>
        <row r="216">
          <cell r="AR216">
            <v>0</v>
          </cell>
          <cell r="AS216">
            <v>0</v>
          </cell>
          <cell r="AT216">
            <v>0</v>
          </cell>
          <cell r="AU216">
            <v>1</v>
          </cell>
          <cell r="AV216">
            <v>0</v>
          </cell>
          <cell r="AW216">
            <v>1</v>
          </cell>
          <cell r="AX216">
            <v>0</v>
          </cell>
          <cell r="AY216">
            <v>0</v>
          </cell>
          <cell r="AZ216">
            <v>0</v>
          </cell>
          <cell r="BA216">
            <v>0</v>
          </cell>
          <cell r="BB216">
            <v>0</v>
          </cell>
          <cell r="BC216">
            <v>1</v>
          </cell>
          <cell r="BD216">
            <v>1</v>
          </cell>
          <cell r="BE216">
            <v>1</v>
          </cell>
        </row>
        <row r="218">
          <cell r="AR218">
            <v>1</v>
          </cell>
          <cell r="AS218">
            <v>1</v>
          </cell>
          <cell r="AT218">
            <v>2</v>
          </cell>
          <cell r="AU218">
            <v>2</v>
          </cell>
          <cell r="AV218">
            <v>2</v>
          </cell>
          <cell r="AW218">
            <v>2</v>
          </cell>
          <cell r="AX218">
            <v>2</v>
          </cell>
          <cell r="AY218">
            <v>2</v>
          </cell>
          <cell r="AZ218">
            <v>2</v>
          </cell>
          <cell r="BA218">
            <v>2</v>
          </cell>
          <cell r="BB218">
            <v>2</v>
          </cell>
          <cell r="BC218">
            <v>1</v>
          </cell>
          <cell r="BD218">
            <v>2</v>
          </cell>
          <cell r="BE218">
            <v>2</v>
          </cell>
        </row>
        <row r="219">
          <cell r="AR219">
            <v>2</v>
          </cell>
          <cell r="AS219">
            <v>2</v>
          </cell>
          <cell r="AT219">
            <v>3</v>
          </cell>
          <cell r="AU219">
            <v>3</v>
          </cell>
          <cell r="AV219">
            <v>3</v>
          </cell>
          <cell r="AW219">
            <v>3</v>
          </cell>
          <cell r="AX219">
            <v>3</v>
          </cell>
          <cell r="AY219">
            <v>3</v>
          </cell>
          <cell r="AZ219">
            <v>3</v>
          </cell>
          <cell r="BA219">
            <v>5</v>
          </cell>
          <cell r="BB219">
            <v>5</v>
          </cell>
          <cell r="BC219">
            <v>3</v>
          </cell>
          <cell r="BD219">
            <v>3</v>
          </cell>
          <cell r="BE219">
            <v>3</v>
          </cell>
        </row>
        <row r="220">
          <cell r="AR220">
            <v>0</v>
          </cell>
          <cell r="AS220">
            <v>0</v>
          </cell>
          <cell r="AT220">
            <v>0</v>
          </cell>
          <cell r="AU220">
            <v>2</v>
          </cell>
          <cell r="AV220">
            <v>0</v>
          </cell>
          <cell r="AW220">
            <v>5</v>
          </cell>
          <cell r="AX220">
            <v>1</v>
          </cell>
          <cell r="AY220">
            <v>1</v>
          </cell>
          <cell r="AZ220">
            <v>1</v>
          </cell>
          <cell r="BA220">
            <v>3</v>
          </cell>
          <cell r="BB220">
            <v>3</v>
          </cell>
          <cell r="BC220">
            <v>4</v>
          </cell>
          <cell r="BD220">
            <v>5</v>
          </cell>
          <cell r="BE220">
            <v>5</v>
          </cell>
        </row>
        <row r="221">
          <cell r="AR221">
            <v>0</v>
          </cell>
          <cell r="AS221">
            <v>0</v>
          </cell>
          <cell r="AT221">
            <v>0</v>
          </cell>
          <cell r="AU221">
            <v>3</v>
          </cell>
          <cell r="AV221">
            <v>0</v>
          </cell>
          <cell r="AW221">
            <v>6</v>
          </cell>
          <cell r="AX221">
            <v>4</v>
          </cell>
          <cell r="AY221">
            <v>4</v>
          </cell>
          <cell r="AZ221">
            <v>4</v>
          </cell>
          <cell r="BA221">
            <v>4</v>
          </cell>
          <cell r="BB221">
            <v>4</v>
          </cell>
          <cell r="BC221">
            <v>5</v>
          </cell>
          <cell r="BD221">
            <v>6</v>
          </cell>
          <cell r="BE221">
            <v>6</v>
          </cell>
        </row>
        <row r="223">
          <cell r="AR223">
            <v>1</v>
          </cell>
          <cell r="AS223">
            <v>1</v>
          </cell>
          <cell r="AT223">
            <v>1</v>
          </cell>
          <cell r="AU223">
            <v>1</v>
          </cell>
          <cell r="AV223">
            <v>1</v>
          </cell>
          <cell r="AW223">
            <v>1</v>
          </cell>
          <cell r="AX223" t="str">
            <v>v1</v>
          </cell>
          <cell r="AY223">
            <v>1</v>
          </cell>
          <cell r="AZ223" t="str">
            <v>v1</v>
          </cell>
          <cell r="BA223">
            <v>1</v>
          </cell>
          <cell r="BB223">
            <v>1</v>
          </cell>
          <cell r="BC223">
            <v>2</v>
          </cell>
          <cell r="BD223">
            <v>1</v>
          </cell>
          <cell r="BE223">
            <v>1</v>
          </cell>
        </row>
        <row r="224">
          <cell r="AR224">
            <v>2</v>
          </cell>
          <cell r="AS224">
            <v>2</v>
          </cell>
          <cell r="AT224" t="str">
            <v>p1</v>
          </cell>
          <cell r="AU224" t="str">
            <v>p1</v>
          </cell>
          <cell r="AV224" t="str">
            <v>p1</v>
          </cell>
          <cell r="AW224" t="str">
            <v>p1</v>
          </cell>
          <cell r="AX224" t="str">
            <v>v2</v>
          </cell>
          <cell r="AY224">
            <v>2</v>
          </cell>
          <cell r="AZ224" t="str">
            <v>v2</v>
          </cell>
          <cell r="BA224">
            <v>5</v>
          </cell>
          <cell r="BB224">
            <v>5</v>
          </cell>
          <cell r="BC224">
            <v>6</v>
          </cell>
          <cell r="BD224" t="str">
            <v>p1</v>
          </cell>
          <cell r="BE224" t="str">
            <v>p1</v>
          </cell>
        </row>
        <row r="225">
          <cell r="AR225">
            <v>0</v>
          </cell>
          <cell r="AS225">
            <v>0</v>
          </cell>
          <cell r="AT225">
            <v>0</v>
          </cell>
          <cell r="AU225">
            <v>1</v>
          </cell>
          <cell r="AV225">
            <v>0</v>
          </cell>
          <cell r="AW225">
            <v>4</v>
          </cell>
          <cell r="AX225" t="str">
            <v>p1</v>
          </cell>
          <cell r="AY225">
            <v>3</v>
          </cell>
          <cell r="AZ225" t="str">
            <v>p1</v>
          </cell>
          <cell r="BA225">
            <v>2</v>
          </cell>
          <cell r="BB225">
            <v>2</v>
          </cell>
          <cell r="BC225">
            <v>1</v>
          </cell>
          <cell r="BD225">
            <v>4</v>
          </cell>
          <cell r="BE225">
            <v>4</v>
          </cell>
        </row>
        <row r="226">
          <cell r="AR226">
            <v>0</v>
          </cell>
          <cell r="AS226">
            <v>0</v>
          </cell>
          <cell r="AT226">
            <v>0</v>
          </cell>
          <cell r="AU226" t="str">
            <v>p2</v>
          </cell>
          <cell r="AV226">
            <v>0</v>
          </cell>
          <cell r="AW226" t="str">
            <v>p2</v>
          </cell>
          <cell r="AX226" t="str">
            <v>p2</v>
          </cell>
          <cell r="AY226">
            <v>4</v>
          </cell>
          <cell r="AZ226" t="str">
            <v>p2</v>
          </cell>
          <cell r="BA226">
            <v>3</v>
          </cell>
          <cell r="BB226">
            <v>3</v>
          </cell>
          <cell r="BC226">
            <v>5</v>
          </cell>
          <cell r="BD226" t="str">
            <v>p2</v>
          </cell>
          <cell r="BE226" t="str">
            <v>p2</v>
          </cell>
        </row>
        <row r="228">
          <cell r="AR228">
            <v>0</v>
          </cell>
          <cell r="AS228">
            <v>1</v>
          </cell>
          <cell r="AT228">
            <v>1</v>
          </cell>
          <cell r="AU228">
            <v>1</v>
          </cell>
          <cell r="AV228">
            <v>1</v>
          </cell>
          <cell r="AW228">
            <v>1</v>
          </cell>
          <cell r="AX228" t="str">
            <v>v1</v>
          </cell>
          <cell r="AY228">
            <v>0</v>
          </cell>
          <cell r="AZ228" t="str">
            <v>v1</v>
          </cell>
          <cell r="BA228">
            <v>1</v>
          </cell>
          <cell r="BB228">
            <v>1</v>
          </cell>
          <cell r="BC228">
            <v>2</v>
          </cell>
          <cell r="BD228">
            <v>1</v>
          </cell>
          <cell r="BE228">
            <v>1</v>
          </cell>
        </row>
        <row r="229">
          <cell r="AR229">
            <v>0</v>
          </cell>
          <cell r="AS229">
            <v>2</v>
          </cell>
          <cell r="AT229" t="str">
            <v>v1</v>
          </cell>
          <cell r="AU229" t="str">
            <v>v1</v>
          </cell>
          <cell r="AV229" t="str">
            <v>v1</v>
          </cell>
          <cell r="AW229" t="str">
            <v>v1</v>
          </cell>
          <cell r="AX229" t="str">
            <v>p2</v>
          </cell>
          <cell r="AY229">
            <v>0</v>
          </cell>
          <cell r="AZ229" t="str">
            <v>p2</v>
          </cell>
          <cell r="BA229">
            <v>4</v>
          </cell>
          <cell r="BB229">
            <v>4</v>
          </cell>
          <cell r="BC229">
            <v>3</v>
          </cell>
          <cell r="BD229" t="str">
            <v>v1</v>
          </cell>
          <cell r="BE229" t="str">
            <v>v1</v>
          </cell>
        </row>
        <row r="230">
          <cell r="AR230">
            <v>0</v>
          </cell>
          <cell r="AS230">
            <v>0</v>
          </cell>
          <cell r="AT230">
            <v>0</v>
          </cell>
          <cell r="AU230">
            <v>1</v>
          </cell>
          <cell r="AV230">
            <v>0</v>
          </cell>
          <cell r="AW230">
            <v>4</v>
          </cell>
          <cell r="AX230" t="str">
            <v>v2</v>
          </cell>
          <cell r="AY230">
            <v>0</v>
          </cell>
          <cell r="AZ230" t="str">
            <v>v2</v>
          </cell>
          <cell r="BA230">
            <v>0</v>
          </cell>
          <cell r="BB230">
            <v>3</v>
          </cell>
          <cell r="BC230">
            <v>4</v>
          </cell>
          <cell r="BD230">
            <v>4</v>
          </cell>
          <cell r="BE230">
            <v>4</v>
          </cell>
        </row>
        <row r="231">
          <cell r="AR231">
            <v>0</v>
          </cell>
          <cell r="AS231">
            <v>0</v>
          </cell>
          <cell r="AT231">
            <v>0</v>
          </cell>
          <cell r="AU231" t="str">
            <v>v2</v>
          </cell>
          <cell r="AV231">
            <v>0</v>
          </cell>
          <cell r="AW231" t="str">
            <v>v2</v>
          </cell>
          <cell r="AX231" t="str">
            <v>p1</v>
          </cell>
          <cell r="AY231">
            <v>0</v>
          </cell>
          <cell r="AZ231" t="str">
            <v>p1</v>
          </cell>
          <cell r="BA231">
            <v>0</v>
          </cell>
          <cell r="BB231">
            <v>5</v>
          </cell>
          <cell r="BC231">
            <v>6</v>
          </cell>
          <cell r="BD231" t="str">
            <v>v2</v>
          </cell>
          <cell r="BE231" t="str">
            <v>v2</v>
          </cell>
        </row>
        <row r="233">
          <cell r="AR233">
            <v>0</v>
          </cell>
          <cell r="AS233">
            <v>0</v>
          </cell>
          <cell r="AT233">
            <v>0</v>
          </cell>
          <cell r="AU233">
            <v>0</v>
          </cell>
          <cell r="AV233">
            <v>0</v>
          </cell>
          <cell r="AW233">
            <v>0</v>
          </cell>
          <cell r="AX233">
            <v>0</v>
          </cell>
          <cell r="AY233">
            <v>0</v>
          </cell>
          <cell r="AZ233">
            <v>0</v>
          </cell>
          <cell r="BA233">
            <v>0</v>
          </cell>
          <cell r="BB233">
            <v>2</v>
          </cell>
          <cell r="BC233">
            <v>0</v>
          </cell>
          <cell r="BD233" t="str">
            <v>1p1</v>
          </cell>
          <cell r="BE233" t="str">
            <v>1p1</v>
          </cell>
        </row>
        <row r="234">
          <cell r="AR234">
            <v>0</v>
          </cell>
          <cell r="AS234">
            <v>0</v>
          </cell>
          <cell r="AT234">
            <v>0</v>
          </cell>
          <cell r="AU234">
            <v>0</v>
          </cell>
          <cell r="AV234">
            <v>0</v>
          </cell>
          <cell r="AW234">
            <v>0</v>
          </cell>
          <cell r="AX234">
            <v>0</v>
          </cell>
          <cell r="AY234">
            <v>0</v>
          </cell>
          <cell r="AZ234">
            <v>0</v>
          </cell>
          <cell r="BA234">
            <v>0</v>
          </cell>
          <cell r="BB234">
            <v>4</v>
          </cell>
          <cell r="BC234">
            <v>0</v>
          </cell>
          <cell r="BD234" t="str">
            <v>1p2</v>
          </cell>
          <cell r="BE234" t="str">
            <v>1p2</v>
          </cell>
        </row>
        <row r="235">
          <cell r="AR235">
            <v>0</v>
          </cell>
          <cell r="AS235">
            <v>0</v>
          </cell>
          <cell r="AT235">
            <v>0</v>
          </cell>
          <cell r="AU235">
            <v>0</v>
          </cell>
          <cell r="AV235">
            <v>0</v>
          </cell>
          <cell r="AW235">
            <v>0</v>
          </cell>
          <cell r="AX235">
            <v>0</v>
          </cell>
          <cell r="AY235">
            <v>0</v>
          </cell>
          <cell r="AZ235">
            <v>0</v>
          </cell>
          <cell r="BA235">
            <v>0</v>
          </cell>
          <cell r="BB235">
            <v>1</v>
          </cell>
          <cell r="BC235">
            <v>0</v>
          </cell>
          <cell r="BD235">
            <v>0</v>
          </cell>
          <cell r="BE235" t="str">
            <v>-</v>
          </cell>
        </row>
        <row r="236">
          <cell r="AR236">
            <v>0</v>
          </cell>
          <cell r="AS236">
            <v>0</v>
          </cell>
          <cell r="AT236">
            <v>0</v>
          </cell>
          <cell r="AU236">
            <v>0</v>
          </cell>
          <cell r="AV236">
            <v>0</v>
          </cell>
          <cell r="AW236">
            <v>0</v>
          </cell>
          <cell r="AX236">
            <v>0</v>
          </cell>
          <cell r="AY236">
            <v>0</v>
          </cell>
          <cell r="AZ236">
            <v>0</v>
          </cell>
          <cell r="BA236">
            <v>0</v>
          </cell>
          <cell r="BB236">
            <v>3</v>
          </cell>
          <cell r="BC236">
            <v>0</v>
          </cell>
          <cell r="BD236">
            <v>0</v>
          </cell>
          <cell r="BE236" t="str">
            <v>-</v>
          </cell>
        </row>
        <row r="238">
          <cell r="AR238">
            <v>0</v>
          </cell>
          <cell r="AS238">
            <v>0</v>
          </cell>
          <cell r="AT238">
            <v>0</v>
          </cell>
          <cell r="AU238">
            <v>0</v>
          </cell>
          <cell r="AV238">
            <v>0</v>
          </cell>
          <cell r="AW238">
            <v>0</v>
          </cell>
          <cell r="AX238">
            <v>0</v>
          </cell>
          <cell r="AY238">
            <v>0</v>
          </cell>
          <cell r="AZ238">
            <v>0</v>
          </cell>
          <cell r="BA238">
            <v>0</v>
          </cell>
          <cell r="BB238">
            <v>1</v>
          </cell>
          <cell r="BC238">
            <v>0</v>
          </cell>
          <cell r="BD238">
            <v>0</v>
          </cell>
          <cell r="BE238" t="str">
            <v>2p1</v>
          </cell>
        </row>
        <row r="239">
          <cell r="AR239">
            <v>0</v>
          </cell>
          <cell r="AS239">
            <v>0</v>
          </cell>
          <cell r="AT239">
            <v>0</v>
          </cell>
          <cell r="AU239">
            <v>0</v>
          </cell>
          <cell r="AV239">
            <v>0</v>
          </cell>
          <cell r="AW239">
            <v>0</v>
          </cell>
          <cell r="AX239">
            <v>0</v>
          </cell>
          <cell r="AY239">
            <v>0</v>
          </cell>
          <cell r="AZ239">
            <v>0</v>
          </cell>
          <cell r="BA239">
            <v>0</v>
          </cell>
          <cell r="BB239">
            <v>2</v>
          </cell>
          <cell r="BC239">
            <v>0</v>
          </cell>
          <cell r="BD239">
            <v>0</v>
          </cell>
          <cell r="BE239" t="str">
            <v>2p2</v>
          </cell>
        </row>
        <row r="240">
          <cell r="AR240">
            <v>0</v>
          </cell>
          <cell r="AS240">
            <v>0</v>
          </cell>
          <cell r="AT240">
            <v>0</v>
          </cell>
          <cell r="AU240">
            <v>0</v>
          </cell>
          <cell r="AV240">
            <v>0</v>
          </cell>
          <cell r="AW240">
            <v>0</v>
          </cell>
          <cell r="AX240">
            <v>0</v>
          </cell>
          <cell r="AY240">
            <v>0</v>
          </cell>
          <cell r="AZ240">
            <v>0</v>
          </cell>
          <cell r="BA240">
            <v>0</v>
          </cell>
          <cell r="BB240">
            <v>4</v>
          </cell>
          <cell r="BC240">
            <v>0</v>
          </cell>
          <cell r="BD240">
            <v>0</v>
          </cell>
          <cell r="BE240" t="str">
            <v>3p1</v>
          </cell>
        </row>
        <row r="241">
          <cell r="AR241">
            <v>0</v>
          </cell>
          <cell r="AS241">
            <v>0</v>
          </cell>
          <cell r="AT241">
            <v>0</v>
          </cell>
          <cell r="AU241">
            <v>0</v>
          </cell>
          <cell r="AV241">
            <v>0</v>
          </cell>
          <cell r="AW241">
            <v>0</v>
          </cell>
          <cell r="AX241">
            <v>0</v>
          </cell>
          <cell r="AY241">
            <v>0</v>
          </cell>
          <cell r="AZ241">
            <v>0</v>
          </cell>
          <cell r="BA241">
            <v>0</v>
          </cell>
          <cell r="BB241">
            <v>5</v>
          </cell>
          <cell r="BC241">
            <v>0</v>
          </cell>
          <cell r="BD241">
            <v>0</v>
          </cell>
          <cell r="BE241" t="str">
            <v>3p2</v>
          </cell>
        </row>
        <row r="243">
          <cell r="AR243">
            <v>1</v>
          </cell>
          <cell r="AS243">
            <v>1</v>
          </cell>
          <cell r="AT243">
            <v>1</v>
          </cell>
          <cell r="AU243">
            <v>1</v>
          </cell>
          <cell r="AV243">
            <v>1</v>
          </cell>
          <cell r="AW243">
            <v>1</v>
          </cell>
          <cell r="AX243">
            <v>1</v>
          </cell>
          <cell r="AY243">
            <v>1</v>
          </cell>
          <cell r="AZ243">
            <v>1</v>
          </cell>
          <cell r="BA243">
            <v>1</v>
          </cell>
          <cell r="BB243">
            <v>1</v>
          </cell>
          <cell r="BC243">
            <v>1</v>
          </cell>
          <cell r="BD243">
            <v>1</v>
          </cell>
          <cell r="BE243">
            <v>1</v>
          </cell>
        </row>
        <row r="244">
          <cell r="AR244" t="str">
            <v>-</v>
          </cell>
          <cell r="AS244" t="str">
            <v>-</v>
          </cell>
          <cell r="AT244" t="str">
            <v>-</v>
          </cell>
          <cell r="AU244">
            <v>4</v>
          </cell>
          <cell r="AV244" t="str">
            <v>-</v>
          </cell>
          <cell r="AW244">
            <v>1</v>
          </cell>
          <cell r="AX244">
            <v>1</v>
          </cell>
          <cell r="AY244">
            <v>1</v>
          </cell>
          <cell r="AZ244">
            <v>1</v>
          </cell>
          <cell r="BA244">
            <v>1</v>
          </cell>
          <cell r="BB244">
            <v>1</v>
          </cell>
          <cell r="BC244">
            <v>1</v>
          </cell>
          <cell r="BD244">
            <v>1</v>
          </cell>
          <cell r="BE244">
            <v>1</v>
          </cell>
        </row>
        <row r="245">
          <cell r="BC245">
            <v>1</v>
          </cell>
        </row>
        <row r="246">
          <cell r="AR246">
            <v>2</v>
          </cell>
          <cell r="AS246">
            <v>2</v>
          </cell>
          <cell r="AT246">
            <v>2</v>
          </cell>
          <cell r="AU246">
            <v>2</v>
          </cell>
          <cell r="AV246">
            <v>2</v>
          </cell>
          <cell r="AW246">
            <v>2</v>
          </cell>
          <cell r="AX246">
            <v>2</v>
          </cell>
          <cell r="AY246">
            <v>2</v>
          </cell>
          <cell r="AZ246">
            <v>2</v>
          </cell>
          <cell r="BA246">
            <v>2</v>
          </cell>
          <cell r="BB246">
            <v>2</v>
          </cell>
          <cell r="BC246">
            <v>2</v>
          </cell>
          <cell r="BD246">
            <v>2</v>
          </cell>
          <cell r="BE246">
            <v>2</v>
          </cell>
        </row>
        <row r="247">
          <cell r="AR247" t="str">
            <v>-</v>
          </cell>
          <cell r="AS247" t="str">
            <v>-</v>
          </cell>
          <cell r="AT247" t="str">
            <v>-</v>
          </cell>
          <cell r="AU247">
            <v>5</v>
          </cell>
          <cell r="AV247" t="str">
            <v>-</v>
          </cell>
          <cell r="AW247">
            <v>2</v>
          </cell>
          <cell r="AX247">
            <v>2</v>
          </cell>
          <cell r="AY247">
            <v>2</v>
          </cell>
          <cell r="AZ247">
            <v>2</v>
          </cell>
          <cell r="BA247">
            <v>2</v>
          </cell>
          <cell r="BB247">
            <v>2</v>
          </cell>
          <cell r="BC247">
            <v>2</v>
          </cell>
          <cell r="BD247">
            <v>2</v>
          </cell>
          <cell r="BE247">
            <v>2</v>
          </cell>
        </row>
        <row r="248">
          <cell r="BC248">
            <v>2</v>
          </cell>
        </row>
        <row r="249">
          <cell r="AS249">
            <v>3</v>
          </cell>
          <cell r="AT249">
            <v>3</v>
          </cell>
          <cell r="AU249">
            <v>3</v>
          </cell>
          <cell r="AV249">
            <v>3</v>
          </cell>
          <cell r="AW249">
            <v>3</v>
          </cell>
          <cell r="AX249">
            <v>3</v>
          </cell>
          <cell r="AY249" t="str">
            <v>-</v>
          </cell>
          <cell r="AZ249">
            <v>3</v>
          </cell>
          <cell r="BA249">
            <v>3</v>
          </cell>
          <cell r="BB249">
            <v>3</v>
          </cell>
          <cell r="BC249" t="str">
            <v>-</v>
          </cell>
          <cell r="BD249">
            <v>3</v>
          </cell>
          <cell r="BE249">
            <v>3</v>
          </cell>
        </row>
        <row r="250">
          <cell r="AS250" t="str">
            <v>-</v>
          </cell>
          <cell r="AT250" t="str">
            <v>-</v>
          </cell>
          <cell r="AU250">
            <v>6</v>
          </cell>
          <cell r="AV250" t="str">
            <v>-</v>
          </cell>
          <cell r="AW250">
            <v>3</v>
          </cell>
          <cell r="AX250">
            <v>3</v>
          </cell>
          <cell r="AY250" t="str">
            <v>-</v>
          </cell>
          <cell r="AZ250">
            <v>3</v>
          </cell>
          <cell r="BA250" t="str">
            <v>-</v>
          </cell>
          <cell r="BB250">
            <v>3</v>
          </cell>
          <cell r="BC250" t="str">
            <v>-</v>
          </cell>
          <cell r="BD250">
            <v>3</v>
          </cell>
          <cell r="BE250">
            <v>3</v>
          </cell>
        </row>
        <row r="251">
          <cell r="BC251" t="str">
            <v>-</v>
          </cell>
        </row>
        <row r="252">
          <cell r="AS252" t="str">
            <v>-</v>
          </cell>
          <cell r="AT252" t="str">
            <v>-</v>
          </cell>
          <cell r="AU252" t="str">
            <v>-</v>
          </cell>
          <cell r="AV252" t="str">
            <v>-</v>
          </cell>
          <cell r="AW252" t="str">
            <v>-</v>
          </cell>
          <cell r="AX252" t="str">
            <v>-</v>
          </cell>
          <cell r="AY252" t="str">
            <v>-</v>
          </cell>
          <cell r="AZ252" t="str">
            <v>-</v>
          </cell>
          <cell r="BA252" t="str">
            <v>-</v>
          </cell>
          <cell r="BB252">
            <v>4</v>
          </cell>
          <cell r="BC252" t="str">
            <v>-</v>
          </cell>
          <cell r="BD252" t="str">
            <v>F</v>
          </cell>
          <cell r="BE252" t="str">
            <v>F</v>
          </cell>
        </row>
        <row r="253">
          <cell r="AS253" t="str">
            <v>-</v>
          </cell>
          <cell r="AT253" t="str">
            <v>-</v>
          </cell>
          <cell r="AU253" t="str">
            <v>-</v>
          </cell>
          <cell r="AV253" t="str">
            <v>-</v>
          </cell>
          <cell r="AW253" t="str">
            <v>-</v>
          </cell>
          <cell r="AX253" t="str">
            <v>-</v>
          </cell>
          <cell r="AY253" t="str">
            <v>-</v>
          </cell>
          <cell r="AZ253" t="str">
            <v>-</v>
          </cell>
          <cell r="BA253" t="str">
            <v>-</v>
          </cell>
          <cell r="BB253">
            <v>4</v>
          </cell>
          <cell r="BC253" t="str">
            <v>-</v>
          </cell>
          <cell r="BD253" t="str">
            <v>-</v>
          </cell>
          <cell r="BE253" t="str">
            <v>-</v>
          </cell>
        </row>
        <row r="254">
          <cell r="BC254" t="str">
            <v>-</v>
          </cell>
        </row>
        <row r="255">
          <cell r="AS255" t="str">
            <v>-</v>
          </cell>
          <cell r="AT255" t="str">
            <v>-</v>
          </cell>
          <cell r="AU255" t="str">
            <v>-</v>
          </cell>
          <cell r="AV255" t="str">
            <v>-</v>
          </cell>
          <cell r="AW255" t="str">
            <v>-</v>
          </cell>
          <cell r="AX255" t="str">
            <v>-</v>
          </cell>
          <cell r="AY255" t="str">
            <v>-</v>
          </cell>
          <cell r="AZ255" t="str">
            <v>-</v>
          </cell>
          <cell r="BA255" t="str">
            <v>-</v>
          </cell>
          <cell r="BB255">
            <v>5</v>
          </cell>
          <cell r="BC255" t="str">
            <v>-</v>
          </cell>
          <cell r="BD255" t="str">
            <v>-</v>
          </cell>
          <cell r="BE255" t="str">
            <v>C</v>
          </cell>
        </row>
        <row r="256">
          <cell r="AS256" t="str">
            <v>-</v>
          </cell>
          <cell r="AT256" t="str">
            <v>-</v>
          </cell>
          <cell r="AU256" t="str">
            <v>-</v>
          </cell>
          <cell r="AV256" t="str">
            <v>-</v>
          </cell>
          <cell r="AW256" t="str">
            <v>-</v>
          </cell>
          <cell r="AX256" t="str">
            <v>-</v>
          </cell>
          <cell r="AY256" t="str">
            <v>-</v>
          </cell>
          <cell r="AZ256" t="str">
            <v>-</v>
          </cell>
          <cell r="BA256" t="str">
            <v>-</v>
          </cell>
          <cell r="BB256">
            <v>5</v>
          </cell>
          <cell r="BC256" t="str">
            <v>-</v>
          </cell>
          <cell r="BD256" t="str">
            <v>-</v>
          </cell>
          <cell r="BE256" t="str">
            <v>C</v>
          </cell>
        </row>
        <row r="258">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AR259">
            <v>2</v>
          </cell>
          <cell r="AS259">
            <v>2</v>
          </cell>
          <cell r="AT259">
            <v>2</v>
          </cell>
          <cell r="AU259">
            <v>2</v>
          </cell>
          <cell r="AV259">
            <v>2</v>
          </cell>
          <cell r="AW259">
            <v>2</v>
          </cell>
          <cell r="AX259">
            <v>2</v>
          </cell>
          <cell r="AY259">
            <v>2</v>
          </cell>
          <cell r="AZ259">
            <v>2</v>
          </cell>
          <cell r="BA259">
            <v>2</v>
          </cell>
          <cell r="BB259">
            <v>2</v>
          </cell>
          <cell r="BC259">
            <v>2</v>
          </cell>
          <cell r="BD259">
            <v>2</v>
          </cell>
          <cell r="BE259">
            <v>2</v>
          </cell>
        </row>
        <row r="260">
          <cell r="AR260" t="str">
            <v>_</v>
          </cell>
          <cell r="AS260" t="str">
            <v>_</v>
          </cell>
          <cell r="AT260">
            <v>3</v>
          </cell>
          <cell r="AU260">
            <v>3</v>
          </cell>
          <cell r="AV260">
            <v>3</v>
          </cell>
          <cell r="AW260">
            <v>3</v>
          </cell>
          <cell r="AX260">
            <v>3</v>
          </cell>
          <cell r="AY260">
            <v>3</v>
          </cell>
          <cell r="AZ260">
            <v>3</v>
          </cell>
          <cell r="BA260">
            <v>3</v>
          </cell>
          <cell r="BB260">
            <v>3</v>
          </cell>
          <cell r="BC260">
            <v>3</v>
          </cell>
          <cell r="BD260">
            <v>3</v>
          </cell>
          <cell r="BE260">
            <v>3</v>
          </cell>
        </row>
        <row r="261">
          <cell r="AR261" t="str">
            <v>_</v>
          </cell>
          <cell r="AS261" t="str">
            <v>_</v>
          </cell>
          <cell r="AT261" t="str">
            <v>_</v>
          </cell>
          <cell r="AU261" t="str">
            <v>_</v>
          </cell>
          <cell r="AV261" t="str">
            <v>_</v>
          </cell>
          <cell r="AW261">
            <v>1</v>
          </cell>
          <cell r="AX261">
            <v>4</v>
          </cell>
          <cell r="AY261">
            <v>4</v>
          </cell>
          <cell r="AZ261">
            <v>4</v>
          </cell>
          <cell r="BA261">
            <v>4</v>
          </cell>
          <cell r="BB261">
            <v>4</v>
          </cell>
          <cell r="BC261">
            <v>1</v>
          </cell>
          <cell r="BD261">
            <v>4</v>
          </cell>
          <cell r="BE261">
            <v>1</v>
          </cell>
        </row>
        <row r="262">
          <cell r="AR262" t="str">
            <v>_</v>
          </cell>
          <cell r="AS262" t="str">
            <v>_</v>
          </cell>
          <cell r="AT262" t="str">
            <v>_</v>
          </cell>
          <cell r="AU262" t="str">
            <v>_</v>
          </cell>
          <cell r="AV262" t="str">
            <v>_</v>
          </cell>
          <cell r="AW262">
            <v>2</v>
          </cell>
          <cell r="AX262" t="str">
            <v>_</v>
          </cell>
          <cell r="AY262" t="str">
            <v>_</v>
          </cell>
          <cell r="AZ262" t="str">
            <v>_</v>
          </cell>
          <cell r="BA262">
            <v>5</v>
          </cell>
          <cell r="BB262">
            <v>5</v>
          </cell>
          <cell r="BC262">
            <v>2</v>
          </cell>
          <cell r="BD262">
            <v>5</v>
          </cell>
          <cell r="BE262">
            <v>2</v>
          </cell>
        </row>
        <row r="263">
          <cell r="AR263" t="str">
            <v>_</v>
          </cell>
          <cell r="AS263" t="str">
            <v>_</v>
          </cell>
          <cell r="AT263" t="str">
            <v>_</v>
          </cell>
          <cell r="AU263" t="str">
            <v>_</v>
          </cell>
          <cell r="AV263" t="str">
            <v>_</v>
          </cell>
          <cell r="AW263">
            <v>3</v>
          </cell>
          <cell r="AX263" t="str">
            <v>_</v>
          </cell>
          <cell r="AY263" t="str">
            <v>_</v>
          </cell>
          <cell r="AZ263" t="str">
            <v>_</v>
          </cell>
          <cell r="BA263" t="str">
            <v>_</v>
          </cell>
          <cell r="BB263" t="str">
            <v>_</v>
          </cell>
          <cell r="BC263">
            <v>3</v>
          </cell>
          <cell r="BD263">
            <v>6</v>
          </cell>
          <cell r="BE263">
            <v>3</v>
          </cell>
        </row>
        <row r="267">
          <cell r="AU267" t="str">
            <v>BB</v>
          </cell>
          <cell r="BE267" t="str">
            <v>AA</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rage"/>
      <sheetName val="Match"/>
      <sheetName val="Classement impression"/>
      <sheetName val="Feuille de résultat"/>
      <sheetName val="Engagement tour suivant"/>
      <sheetName val="Joueurs"/>
    </sheetNames>
    <sheetDataSet>
      <sheetData sheetId="0">
        <row r="27">
          <cell r="P27" t="str">
            <v>Eliminatoire 1er tour</v>
          </cell>
        </row>
        <row r="28">
          <cell r="P28" t="str">
            <v>Eliminatoire 2ème tour</v>
          </cell>
        </row>
        <row r="29">
          <cell r="P29" t="str">
            <v>Eliminatoire 3ème tour</v>
          </cell>
        </row>
        <row r="30">
          <cell r="P30" t="str">
            <v>Quart de finale</v>
          </cell>
        </row>
        <row r="31">
          <cell r="P31" t="str">
            <v>Demi finale</v>
          </cell>
        </row>
        <row r="32">
          <cell r="P32" t="str">
            <v>Finale Oise</v>
          </cell>
        </row>
        <row r="33">
          <cell r="P33" t="str">
            <v>Finale Picardie</v>
          </cell>
        </row>
        <row r="34">
          <cell r="P34" t="str">
            <v>Finale secteur</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lemat.org/FFBI/sif/?cs=4.f2ac1f64f1479ed81c3d1f41278044ddb8899300d795588dc00a0322c751353dff5bdccd20d832e16fe14af0c4ae47b56bfe0103a7c02537f5038e9ccf1c51f6cd8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92"/>
  <sheetViews>
    <sheetView showGridLines="0" zoomScale="80" zoomScaleNormal="80" workbookViewId="0">
      <selection activeCell="AV20" sqref="AV20"/>
    </sheetView>
  </sheetViews>
  <sheetFormatPr baseColWidth="10" defaultColWidth="11.42578125" defaultRowHeight="15" x14ac:dyDescent="0.25"/>
  <cols>
    <col min="1" max="1" width="4" style="25" bestFit="1" customWidth="1"/>
    <col min="2" max="2" width="34.7109375" style="26" customWidth="1"/>
    <col min="3" max="3" width="13.7109375" style="25" customWidth="1"/>
    <col min="4" max="4" width="13" style="26" customWidth="1"/>
    <col min="5" max="5" width="18.7109375" style="26" customWidth="1"/>
    <col min="6" max="6" width="7.85546875" style="26" bestFit="1" customWidth="1"/>
    <col min="7" max="7" width="18.7109375" style="26" bestFit="1" customWidth="1"/>
    <col min="8" max="8" width="47.28515625" style="26" bestFit="1" customWidth="1"/>
    <col min="9" max="9" width="9.7109375" style="2" customWidth="1"/>
    <col min="10" max="10" width="13.140625" style="2" hidden="1" customWidth="1"/>
    <col min="11" max="11" width="11.7109375" style="2" hidden="1" customWidth="1"/>
    <col min="12" max="12" width="43.28515625" style="2" hidden="1" customWidth="1"/>
    <col min="13" max="16" width="11.42578125" style="2" hidden="1" customWidth="1"/>
    <col min="17" max="17" width="40.42578125" style="2" hidden="1" customWidth="1"/>
    <col min="18" max="19" width="11.42578125" style="2" hidden="1" customWidth="1"/>
    <col min="20" max="20" width="26" style="2" hidden="1" customWidth="1"/>
    <col min="21" max="21" width="11.5703125" style="2" hidden="1" customWidth="1"/>
    <col min="22" max="45" width="11.42578125" style="2" hidden="1" customWidth="1"/>
    <col min="46" max="64" width="11.42578125" style="2" customWidth="1"/>
    <col min="65" max="16384" width="11.42578125" style="2"/>
  </cols>
  <sheetData>
    <row r="1" spans="1:19" ht="20.100000000000001" customHeight="1" x14ac:dyDescent="0.25"/>
    <row r="2" spans="1:19" ht="20.100000000000001" customHeight="1" x14ac:dyDescent="0.25">
      <c r="B2" s="314" t="s">
        <v>0</v>
      </c>
      <c r="C2" s="314"/>
      <c r="H2" s="27"/>
    </row>
    <row r="3" spans="1:19" ht="20.100000000000001" customHeight="1" x14ac:dyDescent="0.25">
      <c r="F3" s="318" t="s">
        <v>1</v>
      </c>
      <c r="G3" s="318"/>
      <c r="H3" s="28" t="s">
        <v>361</v>
      </c>
      <c r="S3" s="4">
        <f>IF(ISBLANK(H3),0,1)</f>
        <v>1</v>
      </c>
    </row>
    <row r="4" spans="1:19" ht="20.100000000000001" customHeight="1" x14ac:dyDescent="0.25">
      <c r="S4" s="4">
        <f t="shared" ref="S4:S13" si="0">IF(ISBLANK(H4),0,1)</f>
        <v>0</v>
      </c>
    </row>
    <row r="5" spans="1:19" ht="20.100000000000001" customHeight="1" x14ac:dyDescent="0.25">
      <c r="B5" s="26" t="s">
        <v>2</v>
      </c>
      <c r="C5" s="26" t="s">
        <v>3</v>
      </c>
      <c r="E5" s="28"/>
      <c r="F5" s="319" t="s">
        <v>4</v>
      </c>
      <c r="G5" s="319"/>
      <c r="H5" s="28" t="s">
        <v>33</v>
      </c>
      <c r="J5" s="7"/>
      <c r="K5" s="7"/>
      <c r="L5" s="7"/>
      <c r="M5" s="14"/>
      <c r="N5" s="7"/>
      <c r="Q5" s="3" t="str">
        <f>IF(S15=7,VLOOKUP(H3,L7:M19,2,FALSE),0)</f>
        <v>3p2</v>
      </c>
      <c r="S5" s="4">
        <f>IF(ISBLANK(H5),0,1)</f>
        <v>1</v>
      </c>
    </row>
    <row r="6" spans="1:19" ht="20.100000000000001" customHeight="1" x14ac:dyDescent="0.25">
      <c r="A6" s="25">
        <v>1</v>
      </c>
      <c r="B6" s="237" t="str">
        <f>IF(ISBLANK(C6),"",VLOOKUP(C6,Joueurs!A:D,2,FALSE))</f>
        <v>DAVID MICHEL</v>
      </c>
      <c r="C6" s="238" t="s">
        <v>271</v>
      </c>
      <c r="D6" s="29"/>
      <c r="E6" s="28"/>
      <c r="F6" s="319" t="s">
        <v>5</v>
      </c>
      <c r="G6" s="319"/>
      <c r="H6" s="28" t="s">
        <v>27</v>
      </c>
      <c r="I6" s="7"/>
      <c r="J6" s="7"/>
      <c r="K6" s="7"/>
      <c r="L6" s="14"/>
      <c r="M6" s="14"/>
      <c r="N6" s="7"/>
      <c r="S6" s="4">
        <f t="shared" si="0"/>
        <v>1</v>
      </c>
    </row>
    <row r="7" spans="1:19" ht="20.100000000000001" customHeight="1" x14ac:dyDescent="0.25">
      <c r="A7" s="25">
        <v>2</v>
      </c>
      <c r="B7" s="239" t="str">
        <f>IF(ISBLANK(C7),"",VLOOKUP(C7,Joueurs!A:D,2,FALSE))</f>
        <v>FAREZ MICHEL</v>
      </c>
      <c r="C7" s="240" t="s">
        <v>413</v>
      </c>
      <c r="D7" s="30"/>
      <c r="F7" s="319" t="s">
        <v>6</v>
      </c>
      <c r="G7" s="319"/>
      <c r="H7" s="28" t="s">
        <v>44</v>
      </c>
      <c r="K7" s="7"/>
      <c r="L7" s="7" t="s">
        <v>363</v>
      </c>
      <c r="M7" s="3">
        <v>2</v>
      </c>
      <c r="Q7" s="243" t="s">
        <v>339</v>
      </c>
      <c r="S7" s="4">
        <f t="shared" si="0"/>
        <v>1</v>
      </c>
    </row>
    <row r="8" spans="1:19" ht="20.100000000000001" customHeight="1" x14ac:dyDescent="0.25">
      <c r="A8" s="25">
        <v>3</v>
      </c>
      <c r="B8" s="239" t="str">
        <f>IF(ISBLANK(C8),"",VLOOKUP(C8,Joueurs!A:D,2,FALSE))</f>
        <v>LENGAIGNE DANIEL</v>
      </c>
      <c r="C8" s="240" t="s">
        <v>287</v>
      </c>
      <c r="D8" s="29"/>
      <c r="E8" s="28"/>
      <c r="F8" s="319" t="s">
        <v>7</v>
      </c>
      <c r="G8" s="319"/>
      <c r="H8" s="28" t="s">
        <v>338</v>
      </c>
      <c r="I8" s="7"/>
      <c r="J8" s="7"/>
      <c r="K8" s="7"/>
      <c r="L8" s="7" t="s">
        <v>362</v>
      </c>
      <c r="M8" s="3">
        <v>3</v>
      </c>
      <c r="Q8" s="243" t="s">
        <v>346</v>
      </c>
      <c r="S8" s="4">
        <f t="shared" si="0"/>
        <v>1</v>
      </c>
    </row>
    <row r="9" spans="1:19" ht="20.100000000000001" customHeight="1" x14ac:dyDescent="0.25">
      <c r="A9" s="25">
        <v>4</v>
      </c>
      <c r="B9" s="239" t="str">
        <f>IF(ISBLANK(C9),"",VLOOKUP(C9,Joueurs!A:D,2,FALSE))</f>
        <v>BLANCHARD THIERRY</v>
      </c>
      <c r="C9" s="240" t="s">
        <v>910</v>
      </c>
      <c r="D9" s="29"/>
      <c r="F9" s="319" t="s">
        <v>8</v>
      </c>
      <c r="G9" s="319"/>
      <c r="H9" s="31">
        <v>45612</v>
      </c>
      <c r="I9" s="7"/>
      <c r="L9" s="7" t="s">
        <v>361</v>
      </c>
      <c r="M9" s="3" t="s">
        <v>9</v>
      </c>
      <c r="Q9" s="243" t="s">
        <v>349</v>
      </c>
      <c r="S9" s="4">
        <f t="shared" si="0"/>
        <v>1</v>
      </c>
    </row>
    <row r="10" spans="1:19" ht="20.100000000000001" customHeight="1" x14ac:dyDescent="0.25">
      <c r="A10" s="25">
        <v>5</v>
      </c>
      <c r="B10" s="239" t="str">
        <f>IF(ISBLANK(C10),"",VLOOKUP(C10,Joueurs!A:D,2,FALSE))</f>
        <v>CARDON CHRISTIAN</v>
      </c>
      <c r="C10" s="240" t="s">
        <v>930</v>
      </c>
      <c r="D10" s="29"/>
      <c r="L10" s="7" t="s">
        <v>364</v>
      </c>
      <c r="M10" s="3">
        <v>4</v>
      </c>
      <c r="Q10" s="243" t="s">
        <v>338</v>
      </c>
      <c r="S10" s="4">
        <f t="shared" si="0"/>
        <v>0</v>
      </c>
    </row>
    <row r="11" spans="1:19" ht="20.100000000000001" customHeight="1" x14ac:dyDescent="0.25">
      <c r="A11" s="25">
        <v>6</v>
      </c>
      <c r="B11" s="239" t="str">
        <f>IF(ISBLANK(C11),"",VLOOKUP(C11,Joueurs!A:D,2,FALSE))</f>
        <v>GERONIMI THIERRY</v>
      </c>
      <c r="C11" s="240" t="s">
        <v>492</v>
      </c>
      <c r="D11" s="29"/>
      <c r="L11" s="7" t="s">
        <v>360</v>
      </c>
      <c r="M11" s="3" t="s">
        <v>10</v>
      </c>
      <c r="Q11" s="243" t="s">
        <v>342</v>
      </c>
      <c r="S11" s="4">
        <f t="shared" si="0"/>
        <v>0</v>
      </c>
    </row>
    <row r="12" spans="1:19" ht="20.100000000000001" customHeight="1" x14ac:dyDescent="0.25">
      <c r="A12" s="25">
        <v>7</v>
      </c>
      <c r="B12" s="239" t="str">
        <f>IF(ISBLANK(C12),"",VLOOKUP(C12,Joueurs!A:D,2,FALSE))</f>
        <v/>
      </c>
      <c r="C12" s="240"/>
      <c r="D12" s="29"/>
      <c r="L12" s="7" t="s">
        <v>365</v>
      </c>
      <c r="M12" s="3">
        <v>5</v>
      </c>
      <c r="Q12" s="243" t="s">
        <v>343</v>
      </c>
      <c r="S12" s="4">
        <f t="shared" si="0"/>
        <v>0</v>
      </c>
    </row>
    <row r="13" spans="1:19" ht="20.100000000000001" customHeight="1" x14ac:dyDescent="0.25">
      <c r="A13" s="25">
        <v>8</v>
      </c>
      <c r="B13" s="241" t="str">
        <f>IF(ISBLANK(C13),"",VLOOKUP(C13,Joueurs!A:D,2,FALSE))</f>
        <v/>
      </c>
      <c r="C13" s="242"/>
      <c r="D13" s="29"/>
      <c r="F13" s="318" t="s">
        <v>12</v>
      </c>
      <c r="G13" s="318"/>
      <c r="H13" s="28" t="s">
        <v>657</v>
      </c>
      <c r="L13" s="7" t="s">
        <v>366</v>
      </c>
      <c r="M13" s="3">
        <v>6</v>
      </c>
      <c r="Q13" s="243" t="s">
        <v>344</v>
      </c>
      <c r="S13" s="4">
        <f t="shared" si="0"/>
        <v>1</v>
      </c>
    </row>
    <row r="14" spans="1:19" ht="20.100000000000001" customHeight="1" x14ac:dyDescent="0.25">
      <c r="B14" s="32"/>
      <c r="C14" s="32"/>
      <c r="D14" s="32"/>
      <c r="L14" s="2" t="s">
        <v>14</v>
      </c>
      <c r="M14" s="3"/>
      <c r="Q14" s="243" t="s">
        <v>340</v>
      </c>
    </row>
    <row r="15" spans="1:19" ht="20.100000000000001" customHeight="1" x14ac:dyDescent="0.25">
      <c r="B15" s="32"/>
      <c r="C15" s="32"/>
      <c r="D15" s="32"/>
      <c r="J15" s="8"/>
      <c r="L15" s="7" t="s">
        <v>16</v>
      </c>
      <c r="M15" s="3" t="s">
        <v>17</v>
      </c>
      <c r="Q15" s="243" t="s">
        <v>345</v>
      </c>
      <c r="S15" s="5">
        <f>SUM(S3:S14)</f>
        <v>7</v>
      </c>
    </row>
    <row r="16" spans="1:19" ht="20.100000000000001" customHeight="1" x14ac:dyDescent="0.25">
      <c r="B16" s="32"/>
      <c r="C16" s="32"/>
      <c r="D16" s="32"/>
      <c r="I16" s="315"/>
      <c r="J16" s="315"/>
      <c r="L16" s="7" t="s">
        <v>367</v>
      </c>
      <c r="M16" s="3" t="s">
        <v>18</v>
      </c>
      <c r="Q16" s="243" t="s">
        <v>347</v>
      </c>
    </row>
    <row r="17" spans="1:19" ht="20.100000000000001" customHeight="1" x14ac:dyDescent="0.25">
      <c r="B17" s="32"/>
      <c r="C17" s="32"/>
      <c r="D17" s="32"/>
      <c r="F17" s="26" t="s">
        <v>15</v>
      </c>
      <c r="G17" s="26">
        <f>IF(H7="","",R49)</f>
        <v>60</v>
      </c>
      <c r="L17" s="7" t="s">
        <v>368</v>
      </c>
      <c r="M17" s="3" t="s">
        <v>19</v>
      </c>
      <c r="Q17" s="243" t="s">
        <v>341</v>
      </c>
    </row>
    <row r="18" spans="1:19" ht="20.100000000000001" customHeight="1" x14ac:dyDescent="0.25">
      <c r="B18" s="32"/>
      <c r="C18" s="32"/>
      <c r="D18" s="32"/>
      <c r="I18" s="11"/>
      <c r="L18" s="7" t="s">
        <v>369</v>
      </c>
      <c r="M18" s="3" t="s">
        <v>22</v>
      </c>
      <c r="Q18" s="243" t="s">
        <v>348</v>
      </c>
    </row>
    <row r="19" spans="1:19" ht="20.100000000000001" customHeight="1" x14ac:dyDescent="0.25">
      <c r="B19" s="33"/>
      <c r="C19" s="33"/>
      <c r="D19" s="33"/>
      <c r="E19" s="34"/>
      <c r="F19" s="34"/>
      <c r="G19" s="34"/>
      <c r="H19" s="34"/>
      <c r="J19" s="9"/>
      <c r="K19" s="6"/>
      <c r="L19" s="7" t="s">
        <v>25</v>
      </c>
      <c r="M19" s="3" t="s">
        <v>26</v>
      </c>
    </row>
    <row r="20" spans="1:19" ht="20.100000000000001" customHeight="1" x14ac:dyDescent="0.25">
      <c r="B20" s="33"/>
      <c r="C20" s="33"/>
      <c r="D20" s="33"/>
      <c r="E20" s="34"/>
      <c r="F20" s="34"/>
      <c r="G20" s="34"/>
      <c r="H20" s="34"/>
      <c r="I20" s="315"/>
      <c r="J20" s="315"/>
      <c r="M20" s="3"/>
    </row>
    <row r="21" spans="1:19" ht="20.100000000000001" customHeight="1" x14ac:dyDescent="0.25">
      <c r="B21" s="33"/>
      <c r="C21" s="33"/>
      <c r="D21" s="33"/>
      <c r="E21" s="34"/>
      <c r="F21" s="34"/>
      <c r="G21" s="34"/>
      <c r="H21" s="34"/>
      <c r="I21" s="244"/>
      <c r="Q21" s="243" t="s">
        <v>20</v>
      </c>
    </row>
    <row r="22" spans="1:19" ht="20.100000000000001" customHeight="1" x14ac:dyDescent="0.25">
      <c r="A22" s="35">
        <v>20</v>
      </c>
      <c r="B22" s="32" t="s">
        <v>21</v>
      </c>
      <c r="C22" s="33"/>
      <c r="D22" s="33"/>
      <c r="E22" s="34"/>
      <c r="F22" s="34"/>
      <c r="G22" s="34"/>
      <c r="H22" s="34"/>
      <c r="I22" s="244"/>
      <c r="Q22" s="243" t="s">
        <v>23</v>
      </c>
    </row>
    <row r="23" spans="1:19" ht="20.100000000000001" customHeight="1" x14ac:dyDescent="0.25">
      <c r="A23" s="35">
        <v>21</v>
      </c>
      <c r="B23" s="32" t="s">
        <v>24</v>
      </c>
      <c r="C23" s="33"/>
      <c r="D23" s="33"/>
      <c r="E23" s="34"/>
      <c r="F23" s="34"/>
      <c r="G23" s="34"/>
      <c r="H23" s="34"/>
      <c r="Q23" s="243" t="s">
        <v>27</v>
      </c>
    </row>
    <row r="24" spans="1:19" ht="20.100000000000001" customHeight="1" x14ac:dyDescent="0.25">
      <c r="A24" s="35" t="s">
        <v>28</v>
      </c>
      <c r="B24" s="33" t="s">
        <v>29</v>
      </c>
      <c r="C24" s="33"/>
      <c r="D24" s="33"/>
      <c r="E24" s="34"/>
      <c r="F24" s="34"/>
      <c r="G24" s="34"/>
      <c r="H24" s="34"/>
      <c r="Q24" s="243" t="s">
        <v>30</v>
      </c>
    </row>
    <row r="25" spans="1:19" ht="20.100000000000001" customHeight="1" x14ac:dyDescent="0.25">
      <c r="B25" s="34"/>
      <c r="C25" s="36"/>
      <c r="D25" s="34"/>
      <c r="E25" s="34"/>
      <c r="F25" s="34"/>
      <c r="G25" s="34"/>
      <c r="H25" s="34"/>
      <c r="Q25" s="7" t="s">
        <v>31</v>
      </c>
    </row>
    <row r="26" spans="1:19" ht="20.100000000000001" customHeight="1" x14ac:dyDescent="0.25">
      <c r="B26" s="320" t="s">
        <v>32</v>
      </c>
      <c r="C26" s="320"/>
      <c r="D26" s="320"/>
      <c r="E26" s="320"/>
      <c r="Q26" s="7" t="s">
        <v>33</v>
      </c>
    </row>
    <row r="27" spans="1:19" ht="20.100000000000001" customHeight="1" x14ac:dyDescent="0.25">
      <c r="B27" s="320" t="s">
        <v>402</v>
      </c>
      <c r="C27" s="320"/>
      <c r="D27" s="320"/>
      <c r="E27" s="320"/>
      <c r="Q27" s="7" t="s">
        <v>34</v>
      </c>
    </row>
    <row r="28" spans="1:19" ht="20.100000000000001" customHeight="1" x14ac:dyDescent="0.25">
      <c r="B28" s="245"/>
      <c r="Q28" s="7" t="s">
        <v>35</v>
      </c>
    </row>
    <row r="29" spans="1:19" ht="20.100000000000001" customHeight="1" x14ac:dyDescent="0.25">
      <c r="Q29" s="7" t="s">
        <v>36</v>
      </c>
      <c r="R29" s="2" t="s">
        <v>351</v>
      </c>
      <c r="S29" s="2" t="s">
        <v>500</v>
      </c>
    </row>
    <row r="30" spans="1:19" ht="20.100000000000001" customHeight="1" x14ac:dyDescent="0.25">
      <c r="A30" s="316" t="s">
        <v>458</v>
      </c>
      <c r="B30" s="316"/>
      <c r="C30" s="316"/>
      <c r="D30" s="316"/>
      <c r="E30" s="316"/>
      <c r="F30" s="316"/>
      <c r="G30" s="316"/>
      <c r="H30" s="316"/>
      <c r="Q30" s="7" t="s">
        <v>350</v>
      </c>
      <c r="R30" s="2" t="s">
        <v>39</v>
      </c>
      <c r="S30" s="2" t="s">
        <v>219</v>
      </c>
    </row>
    <row r="31" spans="1:19" ht="20.100000000000001" customHeight="1" x14ac:dyDescent="0.25">
      <c r="A31" s="316"/>
      <c r="B31" s="316"/>
      <c r="C31" s="316"/>
      <c r="D31" s="316"/>
      <c r="E31" s="316"/>
      <c r="F31" s="316"/>
      <c r="G31" s="316"/>
      <c r="H31" s="316"/>
    </row>
    <row r="32" spans="1:19" ht="20.100000000000001" customHeight="1" x14ac:dyDescent="0.25">
      <c r="A32" s="317" t="s">
        <v>459</v>
      </c>
      <c r="B32" s="317"/>
      <c r="C32" s="317"/>
      <c r="D32" s="317"/>
      <c r="E32" s="317"/>
      <c r="F32" s="317"/>
      <c r="G32" s="317"/>
      <c r="H32" s="317"/>
      <c r="Q32" s="2" t="s">
        <v>353</v>
      </c>
    </row>
    <row r="33" spans="1:17" ht="16.5" customHeight="1" x14ac:dyDescent="0.25">
      <c r="Q33" s="7" t="s">
        <v>41</v>
      </c>
    </row>
    <row r="34" spans="1:17" ht="16.5" customHeight="1" x14ac:dyDescent="0.25">
      <c r="A34" s="246"/>
      <c r="Q34" s="7" t="s">
        <v>42</v>
      </c>
    </row>
    <row r="35" spans="1:17" x14ac:dyDescent="0.25">
      <c r="Q35" s="7" t="s">
        <v>43</v>
      </c>
    </row>
    <row r="36" spans="1:17" x14ac:dyDescent="0.25">
      <c r="Q36" s="7" t="s">
        <v>44</v>
      </c>
    </row>
    <row r="37" spans="1:17" x14ac:dyDescent="0.25">
      <c r="Q37" s="7" t="s">
        <v>45</v>
      </c>
    </row>
    <row r="38" spans="1:17" x14ac:dyDescent="0.25">
      <c r="Q38" s="7" t="s">
        <v>46</v>
      </c>
    </row>
    <row r="39" spans="1:17" x14ac:dyDescent="0.25">
      <c r="C39" s="26"/>
      <c r="Q39" s="7" t="s">
        <v>47</v>
      </c>
    </row>
    <row r="40" spans="1:17" x14ac:dyDescent="0.25">
      <c r="Q40" s="7" t="s">
        <v>354</v>
      </c>
    </row>
    <row r="41" spans="1:17" x14ac:dyDescent="0.25">
      <c r="C41" s="26"/>
      <c r="G41" s="37"/>
      <c r="Q41" s="7" t="s">
        <v>48</v>
      </c>
    </row>
    <row r="42" spans="1:17" x14ac:dyDescent="0.25">
      <c r="C42" s="26"/>
      <c r="G42" s="37"/>
      <c r="Q42" s="7" t="s">
        <v>355</v>
      </c>
    </row>
    <row r="43" spans="1:17" x14ac:dyDescent="0.25">
      <c r="C43" s="26"/>
      <c r="G43" s="37"/>
      <c r="Q43" s="7" t="s">
        <v>357</v>
      </c>
    </row>
    <row r="44" spans="1:17" x14ac:dyDescent="0.25">
      <c r="B44" s="38"/>
      <c r="C44" s="26"/>
      <c r="G44" s="37"/>
      <c r="Q44" s="7" t="s">
        <v>356</v>
      </c>
    </row>
    <row r="45" spans="1:17" x14ac:dyDescent="0.25">
      <c r="B45" s="38"/>
      <c r="C45" s="26"/>
      <c r="Q45" s="7" t="s">
        <v>49</v>
      </c>
    </row>
    <row r="46" spans="1:17" x14ac:dyDescent="0.25">
      <c r="B46" s="38"/>
      <c r="C46" s="26"/>
      <c r="E46" s="39"/>
      <c r="Q46" s="7" t="s">
        <v>358</v>
      </c>
    </row>
    <row r="47" spans="1:17" x14ac:dyDescent="0.25">
      <c r="B47" s="38"/>
      <c r="Q47" s="7" t="s">
        <v>359</v>
      </c>
    </row>
    <row r="48" spans="1:17" x14ac:dyDescent="0.25">
      <c r="Q48" s="7"/>
    </row>
    <row r="49" spans="3:23" x14ac:dyDescent="0.25">
      <c r="C49" s="26"/>
      <c r="R49" s="2">
        <f>VLOOKUP(Q50,Q51:W92,5,FALSE)</f>
        <v>60</v>
      </c>
      <c r="S49" s="2">
        <f>VLOOKUP(Q50,Q51:W92,6,FALSE)</f>
        <v>50</v>
      </c>
    </row>
    <row r="50" spans="3:23" x14ac:dyDescent="0.25">
      <c r="C50" s="26"/>
      <c r="Q50" s="2" t="str">
        <f>H6&amp;H7</f>
        <v>BANDEREGIONAL 1</v>
      </c>
    </row>
    <row r="51" spans="3:23" x14ac:dyDescent="0.25">
      <c r="Q51" s="247" t="str">
        <f t="shared" ref="Q51:Q88" si="1">R51&amp;T51</f>
        <v>libreMasters</v>
      </c>
      <c r="R51" s="248" t="s">
        <v>50</v>
      </c>
      <c r="S51" s="12">
        <v>1</v>
      </c>
      <c r="T51" s="13" t="s">
        <v>352</v>
      </c>
      <c r="U51" s="13">
        <v>400</v>
      </c>
      <c r="V51" s="13">
        <v>300</v>
      </c>
      <c r="W51" s="13">
        <v>20</v>
      </c>
    </row>
    <row r="52" spans="3:23" x14ac:dyDescent="0.25">
      <c r="Q52" s="247" t="str">
        <f t="shared" si="1"/>
        <v>libreNATIONAL 1</v>
      </c>
      <c r="R52" s="248" t="s">
        <v>50</v>
      </c>
      <c r="S52" s="12">
        <v>2</v>
      </c>
      <c r="T52" s="247" t="s">
        <v>41</v>
      </c>
      <c r="U52" s="248">
        <v>300</v>
      </c>
      <c r="V52" s="248">
        <v>200</v>
      </c>
      <c r="W52" s="248">
        <v>25</v>
      </c>
    </row>
    <row r="53" spans="3:23" x14ac:dyDescent="0.25">
      <c r="C53" s="26"/>
      <c r="Q53" s="247" t="str">
        <f t="shared" si="1"/>
        <v>libreNATIONAL 3</v>
      </c>
      <c r="R53" s="248" t="s">
        <v>50</v>
      </c>
      <c r="S53" s="12">
        <v>3</v>
      </c>
      <c r="T53" s="247" t="s">
        <v>43</v>
      </c>
      <c r="U53" s="248">
        <v>200</v>
      </c>
      <c r="V53" s="248">
        <v>150</v>
      </c>
      <c r="W53" s="248">
        <v>25</v>
      </c>
    </row>
    <row r="54" spans="3:23" x14ac:dyDescent="0.25">
      <c r="C54" s="26"/>
      <c r="Q54" s="247" t="str">
        <f t="shared" si="1"/>
        <v>libreREGIONAL 1</v>
      </c>
      <c r="R54" s="248" t="s">
        <v>50</v>
      </c>
      <c r="S54" s="12">
        <v>4</v>
      </c>
      <c r="T54" s="247" t="s">
        <v>44</v>
      </c>
      <c r="U54" s="248">
        <v>150</v>
      </c>
      <c r="V54" s="248">
        <v>120</v>
      </c>
      <c r="W54" s="248">
        <v>30</v>
      </c>
    </row>
    <row r="55" spans="3:23" x14ac:dyDescent="0.25">
      <c r="C55" s="26"/>
      <c r="Q55" s="247" t="str">
        <f t="shared" si="1"/>
        <v>libreREGIONAL 2</v>
      </c>
      <c r="R55" s="248" t="s">
        <v>50</v>
      </c>
      <c r="S55" s="12">
        <v>5</v>
      </c>
      <c r="T55" s="247" t="s">
        <v>45</v>
      </c>
      <c r="U55" s="248">
        <v>100</v>
      </c>
      <c r="V55" s="248">
        <v>80</v>
      </c>
      <c r="W55" s="248">
        <v>30</v>
      </c>
    </row>
    <row r="56" spans="3:23" x14ac:dyDescent="0.25">
      <c r="C56" s="26"/>
      <c r="Q56" s="247" t="str">
        <f t="shared" si="1"/>
        <v>libreREGIONAL 3</v>
      </c>
      <c r="R56" s="248" t="s">
        <v>50</v>
      </c>
      <c r="S56" s="12">
        <v>6</v>
      </c>
      <c r="T56" s="247" t="s">
        <v>46</v>
      </c>
      <c r="U56" s="248">
        <v>70</v>
      </c>
      <c r="V56" s="248">
        <v>60</v>
      </c>
      <c r="W56" s="248">
        <v>40</v>
      </c>
    </row>
    <row r="57" spans="3:23" x14ac:dyDescent="0.25">
      <c r="C57" s="38"/>
      <c r="D57" s="38"/>
      <c r="Q57" s="247" t="str">
        <f t="shared" si="1"/>
        <v>libreREGIONAL 4</v>
      </c>
      <c r="R57" s="248" t="s">
        <v>50</v>
      </c>
      <c r="S57" s="12">
        <v>7</v>
      </c>
      <c r="T57" s="247" t="s">
        <v>47</v>
      </c>
      <c r="U57" s="248">
        <v>50</v>
      </c>
      <c r="V57" s="248">
        <v>40</v>
      </c>
      <c r="W57" s="248">
        <v>50</v>
      </c>
    </row>
    <row r="58" spans="3:23" x14ac:dyDescent="0.25">
      <c r="Q58" s="247" t="str">
        <f t="shared" si="1"/>
        <v>libreJUNIORS (U21)</v>
      </c>
      <c r="R58" s="248" t="s">
        <v>50</v>
      </c>
      <c r="S58" s="12">
        <v>8</v>
      </c>
      <c r="T58" s="248" t="s">
        <v>354</v>
      </c>
      <c r="U58" s="248">
        <v>300</v>
      </c>
      <c r="V58" s="248">
        <v>200</v>
      </c>
      <c r="W58" s="248">
        <v>20</v>
      </c>
    </row>
    <row r="59" spans="3:23" x14ac:dyDescent="0.25">
      <c r="Q59" s="247" t="str">
        <f t="shared" si="1"/>
        <v xml:space="preserve">libreJUNIORS Régionaux </v>
      </c>
      <c r="R59" s="248" t="s">
        <v>50</v>
      </c>
      <c r="S59" s="12">
        <v>9</v>
      </c>
      <c r="T59" s="248" t="s">
        <v>48</v>
      </c>
      <c r="U59" s="248">
        <v>120</v>
      </c>
      <c r="V59" s="248">
        <v>100</v>
      </c>
      <c r="W59" s="248">
        <v>30</v>
      </c>
    </row>
    <row r="60" spans="3:23" x14ac:dyDescent="0.25">
      <c r="Q60" s="247" t="str">
        <f t="shared" si="1"/>
        <v>libreCADETS (U17)</v>
      </c>
      <c r="R60" s="248" t="s">
        <v>50</v>
      </c>
      <c r="S60" s="12">
        <v>10</v>
      </c>
      <c r="T60" s="248" t="s">
        <v>355</v>
      </c>
      <c r="U60" s="248">
        <v>200</v>
      </c>
      <c r="V60" s="248">
        <v>150</v>
      </c>
      <c r="W60" s="248">
        <v>20</v>
      </c>
    </row>
    <row r="61" spans="3:23" x14ac:dyDescent="0.25">
      <c r="Q61" s="247" t="str">
        <f t="shared" si="1"/>
        <v>libreCADETS Régionaux</v>
      </c>
      <c r="R61" s="248" t="s">
        <v>50</v>
      </c>
      <c r="S61" s="12">
        <v>11</v>
      </c>
      <c r="T61" s="248" t="s">
        <v>357</v>
      </c>
      <c r="U61" s="248">
        <v>50</v>
      </c>
      <c r="V61" s="248">
        <v>40</v>
      </c>
      <c r="W61" s="248">
        <v>40</v>
      </c>
    </row>
    <row r="62" spans="3:23" x14ac:dyDescent="0.25">
      <c r="Q62" s="247" t="str">
        <f t="shared" si="1"/>
        <v>libreMINIMES</v>
      </c>
      <c r="R62" s="248" t="s">
        <v>50</v>
      </c>
      <c r="S62" s="12">
        <v>12</v>
      </c>
      <c r="T62" s="247" t="s">
        <v>356</v>
      </c>
      <c r="U62" s="248">
        <v>50</v>
      </c>
      <c r="V62" s="248">
        <v>40</v>
      </c>
      <c r="W62" s="248">
        <v>40</v>
      </c>
    </row>
    <row r="63" spans="3:23" x14ac:dyDescent="0.25">
      <c r="Q63" s="247" t="str">
        <f t="shared" si="1"/>
        <v>libre4 BILLES</v>
      </c>
      <c r="R63" s="248" t="s">
        <v>50</v>
      </c>
      <c r="S63" s="12">
        <v>13</v>
      </c>
      <c r="T63" s="248" t="s">
        <v>49</v>
      </c>
      <c r="U63" s="248">
        <v>50</v>
      </c>
      <c r="V63" s="248">
        <v>40</v>
      </c>
      <c r="W63" s="248">
        <v>40</v>
      </c>
    </row>
    <row r="64" spans="3:23" x14ac:dyDescent="0.25">
      <c r="Q64" s="247" t="str">
        <f t="shared" si="1"/>
        <v>libreDAME NATIONAL</v>
      </c>
      <c r="R64" s="248" t="s">
        <v>50</v>
      </c>
      <c r="S64" s="12">
        <v>14</v>
      </c>
      <c r="T64" s="247" t="s">
        <v>358</v>
      </c>
      <c r="U64" s="248">
        <v>150</v>
      </c>
      <c r="V64" s="248">
        <v>120</v>
      </c>
      <c r="W64" s="248">
        <v>30</v>
      </c>
    </row>
    <row r="65" spans="17:23" x14ac:dyDescent="0.25">
      <c r="Q65" s="247" t="str">
        <f t="shared" si="1"/>
        <v>libreDAME REGIONAL</v>
      </c>
      <c r="R65" s="248" t="s">
        <v>50</v>
      </c>
      <c r="S65" s="12">
        <v>15</v>
      </c>
      <c r="T65" s="247" t="s">
        <v>359</v>
      </c>
      <c r="U65" s="248">
        <v>50</v>
      </c>
      <c r="V65" s="248">
        <v>40</v>
      </c>
      <c r="W65" s="248">
        <v>50</v>
      </c>
    </row>
    <row r="66" spans="17:23" x14ac:dyDescent="0.25">
      <c r="Q66" s="247" t="str">
        <f t="shared" si="1"/>
        <v>bandeMasters</v>
      </c>
      <c r="R66" s="248" t="s">
        <v>51</v>
      </c>
      <c r="S66" s="12">
        <v>16</v>
      </c>
      <c r="T66" s="247" t="s">
        <v>352</v>
      </c>
      <c r="U66" s="248">
        <v>120</v>
      </c>
      <c r="V66" s="248">
        <v>100</v>
      </c>
      <c r="W66" s="248">
        <v>40</v>
      </c>
    </row>
    <row r="67" spans="17:23" x14ac:dyDescent="0.25">
      <c r="Q67" s="247" t="str">
        <f t="shared" si="1"/>
        <v>bandeNATIONAL 1</v>
      </c>
      <c r="R67" s="248" t="s">
        <v>51</v>
      </c>
      <c r="S67" s="12">
        <v>17</v>
      </c>
      <c r="T67" s="247" t="s">
        <v>41</v>
      </c>
      <c r="U67" s="248">
        <v>100</v>
      </c>
      <c r="V67" s="248">
        <v>80</v>
      </c>
      <c r="W67" s="248">
        <v>40</v>
      </c>
    </row>
    <row r="68" spans="17:23" x14ac:dyDescent="0.25">
      <c r="Q68" s="247" t="str">
        <f t="shared" si="1"/>
        <v>bandeNATIONAL 3</v>
      </c>
      <c r="R68" s="248" t="s">
        <v>51</v>
      </c>
      <c r="S68" s="12">
        <v>18</v>
      </c>
      <c r="T68" s="247" t="s">
        <v>43</v>
      </c>
      <c r="U68" s="248">
        <v>80</v>
      </c>
      <c r="V68" s="248">
        <v>60</v>
      </c>
      <c r="W68" s="248">
        <v>40</v>
      </c>
    </row>
    <row r="69" spans="17:23" x14ac:dyDescent="0.25">
      <c r="Q69" s="247" t="str">
        <f t="shared" si="1"/>
        <v>bandeREGIONAL 1</v>
      </c>
      <c r="R69" s="248" t="s">
        <v>51</v>
      </c>
      <c r="S69" s="12">
        <v>19</v>
      </c>
      <c r="T69" s="247" t="s">
        <v>44</v>
      </c>
      <c r="U69" s="248">
        <v>60</v>
      </c>
      <c r="V69" s="248">
        <v>50</v>
      </c>
      <c r="W69" s="248">
        <v>40</v>
      </c>
    </row>
    <row r="70" spans="17:23" x14ac:dyDescent="0.25">
      <c r="Q70" s="247" t="str">
        <f t="shared" si="1"/>
        <v>bandeREGIONAL 2</v>
      </c>
      <c r="R70" s="248" t="s">
        <v>51</v>
      </c>
      <c r="S70" s="12">
        <v>20</v>
      </c>
      <c r="T70" s="247" t="s">
        <v>45</v>
      </c>
      <c r="U70" s="248">
        <v>40</v>
      </c>
      <c r="V70" s="248">
        <v>30</v>
      </c>
      <c r="W70" s="248">
        <v>50</v>
      </c>
    </row>
    <row r="71" spans="17:23" x14ac:dyDescent="0.25">
      <c r="Q71" s="247" t="str">
        <f t="shared" si="1"/>
        <v>cadreMasters</v>
      </c>
      <c r="R71" s="248" t="s">
        <v>52</v>
      </c>
      <c r="S71" s="12">
        <v>21</v>
      </c>
      <c r="T71" s="247" t="s">
        <v>352</v>
      </c>
      <c r="U71" s="248">
        <v>250</v>
      </c>
      <c r="V71" s="248">
        <v>200</v>
      </c>
      <c r="W71" s="248">
        <v>20</v>
      </c>
    </row>
    <row r="72" spans="17:23" x14ac:dyDescent="0.25">
      <c r="Q72" s="247" t="str">
        <f t="shared" si="1"/>
        <v>cadreNATIONAL 1</v>
      </c>
      <c r="R72" s="248" t="s">
        <v>52</v>
      </c>
      <c r="S72" s="12">
        <v>22</v>
      </c>
      <c r="T72" s="247" t="s">
        <v>41</v>
      </c>
      <c r="U72" s="248">
        <v>200</v>
      </c>
      <c r="V72" s="248">
        <v>150</v>
      </c>
      <c r="W72" s="248">
        <v>20</v>
      </c>
    </row>
    <row r="73" spans="17:23" x14ac:dyDescent="0.25">
      <c r="Q73" s="247" t="str">
        <f t="shared" si="1"/>
        <v>cadreNATIONAL 2</v>
      </c>
      <c r="R73" s="248" t="s">
        <v>52</v>
      </c>
      <c r="S73" s="12">
        <v>23</v>
      </c>
      <c r="T73" s="247" t="s">
        <v>42</v>
      </c>
      <c r="U73" s="248">
        <v>120</v>
      </c>
      <c r="V73" s="248">
        <v>100</v>
      </c>
      <c r="W73" s="248">
        <v>20</v>
      </c>
    </row>
    <row r="74" spans="17:23" x14ac:dyDescent="0.25">
      <c r="Q74" s="247" t="str">
        <f t="shared" si="1"/>
        <v>cadreJUNIORS (U21)</v>
      </c>
      <c r="R74" s="248" t="s">
        <v>52</v>
      </c>
      <c r="S74" s="12">
        <v>24</v>
      </c>
      <c r="T74" s="248" t="s">
        <v>354</v>
      </c>
      <c r="U74" s="248">
        <v>150</v>
      </c>
      <c r="V74" s="248">
        <v>120</v>
      </c>
      <c r="W74" s="248">
        <v>15</v>
      </c>
    </row>
    <row r="75" spans="17:23" x14ac:dyDescent="0.25">
      <c r="Q75" s="247" t="str">
        <f t="shared" si="1"/>
        <v>cadreNATIONAL 3</v>
      </c>
      <c r="R75" s="248" t="s">
        <v>52</v>
      </c>
      <c r="S75" s="12">
        <v>25</v>
      </c>
      <c r="T75" s="247" t="s">
        <v>43</v>
      </c>
      <c r="U75" s="248">
        <v>120</v>
      </c>
      <c r="V75" s="248">
        <v>100</v>
      </c>
      <c r="W75" s="248">
        <v>30</v>
      </c>
    </row>
    <row r="76" spans="17:23" x14ac:dyDescent="0.25">
      <c r="Q76" s="247" t="str">
        <f t="shared" si="1"/>
        <v>cadreREGIONAL 1</v>
      </c>
      <c r="R76" s="248" t="s">
        <v>52</v>
      </c>
      <c r="S76" s="12">
        <v>26</v>
      </c>
      <c r="T76" s="247" t="s">
        <v>44</v>
      </c>
      <c r="U76" s="248">
        <v>80</v>
      </c>
      <c r="V76" s="248">
        <v>60</v>
      </c>
      <c r="W76" s="248">
        <v>30</v>
      </c>
    </row>
    <row r="77" spans="17:23" x14ac:dyDescent="0.25">
      <c r="Q77" s="247" t="str">
        <f t="shared" si="1"/>
        <v>3 bandesMasters</v>
      </c>
      <c r="R77" s="248" t="s">
        <v>53</v>
      </c>
      <c r="S77" s="12">
        <v>27</v>
      </c>
      <c r="T77" s="247" t="s">
        <v>352</v>
      </c>
      <c r="U77" s="248">
        <v>40</v>
      </c>
      <c r="V77" s="248">
        <v>35</v>
      </c>
      <c r="W77" s="248">
        <v>50</v>
      </c>
    </row>
    <row r="78" spans="17:23" x14ac:dyDescent="0.25">
      <c r="Q78" s="247" t="str">
        <f t="shared" si="1"/>
        <v>3 bandesNATIONAL 1</v>
      </c>
      <c r="R78" s="248" t="s">
        <v>53</v>
      </c>
      <c r="S78" s="12">
        <v>28</v>
      </c>
      <c r="T78" s="247" t="s">
        <v>41</v>
      </c>
      <c r="U78" s="248">
        <v>35</v>
      </c>
      <c r="V78" s="248">
        <v>30</v>
      </c>
      <c r="W78" s="248">
        <v>50</v>
      </c>
    </row>
    <row r="79" spans="17:23" x14ac:dyDescent="0.25">
      <c r="Q79" s="247" t="str">
        <f t="shared" si="1"/>
        <v>3 bandesNATIONAL 2</v>
      </c>
      <c r="R79" s="248" t="s">
        <v>53</v>
      </c>
      <c r="S79" s="12">
        <v>29</v>
      </c>
      <c r="T79" s="247" t="s">
        <v>42</v>
      </c>
      <c r="U79" s="248">
        <v>30</v>
      </c>
      <c r="V79" s="248">
        <v>25</v>
      </c>
      <c r="W79" s="248">
        <v>50</v>
      </c>
    </row>
    <row r="80" spans="17:23" x14ac:dyDescent="0.25">
      <c r="Q80" s="247" t="str">
        <f t="shared" si="1"/>
        <v>3 bandesNATIONAL 3</v>
      </c>
      <c r="R80" s="248" t="s">
        <v>53</v>
      </c>
      <c r="S80" s="12">
        <v>30</v>
      </c>
      <c r="T80" s="247" t="s">
        <v>43</v>
      </c>
      <c r="U80" s="248">
        <v>25</v>
      </c>
      <c r="V80" s="248">
        <v>20</v>
      </c>
      <c r="W80" s="248">
        <v>60</v>
      </c>
    </row>
    <row r="81" spans="17:23" x14ac:dyDescent="0.25">
      <c r="Q81" s="247" t="str">
        <f t="shared" si="1"/>
        <v>3 bandesDAME NATIONAL</v>
      </c>
      <c r="R81" s="248" t="s">
        <v>53</v>
      </c>
      <c r="S81" s="12">
        <v>31</v>
      </c>
      <c r="T81" s="248" t="s">
        <v>358</v>
      </c>
      <c r="U81" s="248">
        <v>25</v>
      </c>
      <c r="V81" s="248">
        <v>20</v>
      </c>
      <c r="W81" s="248">
        <v>60</v>
      </c>
    </row>
    <row r="82" spans="17:23" x14ac:dyDescent="0.25">
      <c r="Q82" s="247" t="str">
        <f t="shared" si="1"/>
        <v>3 bandesDAME REGIONAL</v>
      </c>
      <c r="R82" s="248" t="s">
        <v>53</v>
      </c>
      <c r="S82" s="12">
        <v>32</v>
      </c>
      <c r="T82" s="248" t="s">
        <v>359</v>
      </c>
      <c r="U82" s="248">
        <v>20</v>
      </c>
      <c r="V82" s="248">
        <v>15</v>
      </c>
      <c r="W82" s="248">
        <v>60</v>
      </c>
    </row>
    <row r="83" spans="17:23" x14ac:dyDescent="0.25">
      <c r="Q83" s="247" t="str">
        <f t="shared" si="1"/>
        <v>3 bandesCADETS Régionaux</v>
      </c>
      <c r="R83" s="248" t="s">
        <v>53</v>
      </c>
      <c r="S83" s="12">
        <v>33</v>
      </c>
      <c r="T83" s="248" t="s">
        <v>357</v>
      </c>
      <c r="U83" s="248">
        <v>20</v>
      </c>
      <c r="V83" s="248">
        <v>15</v>
      </c>
      <c r="W83" s="248">
        <v>60</v>
      </c>
    </row>
    <row r="84" spans="17:23" x14ac:dyDescent="0.25">
      <c r="Q84" s="247" t="str">
        <f t="shared" si="1"/>
        <v xml:space="preserve">3 bandesJUNIORS Régionaux </v>
      </c>
      <c r="R84" s="248" t="s">
        <v>53</v>
      </c>
      <c r="S84" s="12">
        <v>34</v>
      </c>
      <c r="T84" s="248" t="s">
        <v>48</v>
      </c>
      <c r="U84" s="248">
        <v>25</v>
      </c>
      <c r="V84" s="248">
        <v>20</v>
      </c>
      <c r="W84" s="248">
        <v>60</v>
      </c>
    </row>
    <row r="85" spans="17:23" x14ac:dyDescent="0.25">
      <c r="Q85" s="247" t="str">
        <f t="shared" si="1"/>
        <v>3 bandesJUNIORS (U21)</v>
      </c>
      <c r="R85" s="248" t="s">
        <v>53</v>
      </c>
      <c r="S85" s="12">
        <v>35</v>
      </c>
      <c r="T85" s="248" t="s">
        <v>354</v>
      </c>
      <c r="U85" s="248">
        <v>30</v>
      </c>
      <c r="V85" s="248">
        <v>25</v>
      </c>
      <c r="W85" s="248">
        <v>50</v>
      </c>
    </row>
    <row r="86" spans="17:23" x14ac:dyDescent="0.25">
      <c r="Q86" s="247" t="str">
        <f t="shared" si="1"/>
        <v>3 bandesCADETS (U17)</v>
      </c>
      <c r="R86" s="248" t="s">
        <v>53</v>
      </c>
      <c r="S86" s="12">
        <v>36</v>
      </c>
      <c r="T86" s="248" t="s">
        <v>355</v>
      </c>
      <c r="U86" s="248">
        <v>25</v>
      </c>
      <c r="V86" s="248">
        <v>20</v>
      </c>
      <c r="W86" s="248">
        <v>50</v>
      </c>
    </row>
    <row r="87" spans="17:23" x14ac:dyDescent="0.25">
      <c r="Q87" s="247" t="str">
        <f t="shared" si="1"/>
        <v>3 bandesREGIONAL 1</v>
      </c>
      <c r="R87" s="248" t="s">
        <v>53</v>
      </c>
      <c r="S87" s="12">
        <v>37</v>
      </c>
      <c r="T87" s="247" t="s">
        <v>44</v>
      </c>
      <c r="U87" s="248">
        <v>20</v>
      </c>
      <c r="V87" s="248">
        <v>15</v>
      </c>
      <c r="W87" s="248">
        <v>60</v>
      </c>
    </row>
    <row r="88" spans="17:23" x14ac:dyDescent="0.25">
      <c r="Q88" s="247" t="str">
        <f t="shared" si="1"/>
        <v>3 bandesREGIONAL 2</v>
      </c>
      <c r="R88" s="248" t="s">
        <v>53</v>
      </c>
      <c r="S88" s="12">
        <v>38</v>
      </c>
      <c r="T88" s="247" t="s">
        <v>45</v>
      </c>
      <c r="U88" s="248">
        <v>15</v>
      </c>
      <c r="V88" s="248">
        <v>12</v>
      </c>
      <c r="W88" s="248">
        <v>60</v>
      </c>
    </row>
    <row r="89" spans="17:23" x14ac:dyDescent="0.25">
      <c r="U89" s="243"/>
      <c r="V89" s="243"/>
    </row>
    <row r="90" spans="17:23" x14ac:dyDescent="0.25">
      <c r="U90" s="243"/>
      <c r="V90" s="243"/>
    </row>
    <row r="91" spans="17:23" x14ac:dyDescent="0.25">
      <c r="U91" s="243"/>
      <c r="V91" s="243"/>
    </row>
    <row r="92" spans="17:23" x14ac:dyDescent="0.25">
      <c r="U92" s="243"/>
      <c r="V92" s="243"/>
    </row>
  </sheetData>
  <sheetProtection selectLockedCells="1"/>
  <sortState xmlns:xlrd2="http://schemas.microsoft.com/office/spreadsheetml/2017/richdata2" ref="Q7:Q18">
    <sortCondition ref="Q7"/>
  </sortState>
  <mergeCells count="14">
    <mergeCell ref="B2:C2"/>
    <mergeCell ref="I20:J20"/>
    <mergeCell ref="I16:J16"/>
    <mergeCell ref="A30:H31"/>
    <mergeCell ref="A32:H32"/>
    <mergeCell ref="F3:G3"/>
    <mergeCell ref="F5:G5"/>
    <mergeCell ref="F6:G6"/>
    <mergeCell ref="F7:G7"/>
    <mergeCell ref="F8:G8"/>
    <mergeCell ref="F9:G9"/>
    <mergeCell ref="F13:G13"/>
    <mergeCell ref="B26:E26"/>
    <mergeCell ref="B27:E27"/>
  </mergeCells>
  <phoneticPr fontId="0" type="noConversion"/>
  <conditionalFormatting sqref="B6:C13">
    <cfRule type="expression" dxfId="7" priority="5">
      <formula>ISBLANK(B6)</formula>
    </cfRule>
  </conditionalFormatting>
  <conditionalFormatting sqref="H3">
    <cfRule type="containsBlanks" dxfId="6" priority="4">
      <formula>LEN(TRIM(H3))=0</formula>
    </cfRule>
  </conditionalFormatting>
  <conditionalFormatting sqref="H5:H9">
    <cfRule type="containsBlanks" dxfId="5" priority="2">
      <formula>LEN(TRIM(H5))=0</formula>
    </cfRule>
  </conditionalFormatting>
  <conditionalFormatting sqref="H13">
    <cfRule type="containsBlanks" dxfId="4" priority="1">
      <formula>LEN(TRIM(H13))=0</formula>
    </cfRule>
  </conditionalFormatting>
  <dataValidations count="7">
    <dataValidation type="list" showInputMessage="1" showErrorMessage="1" sqref="H6" xr:uid="{00000000-0002-0000-0000-000000000000}">
      <formula1>Mode_de_jeu</formula1>
    </dataValidation>
    <dataValidation type="list" allowBlank="1" showInputMessage="1" showErrorMessage="1" sqref="J5:N5" xr:uid="{00000000-0002-0000-0000-000001000000}">
      <formula1>$BT$87:$BT$94</formula1>
    </dataValidation>
    <dataValidation type="list" allowBlank="1" showInputMessage="1" showErrorMessage="1" sqref="H8" xr:uid="{00000000-0002-0000-0000-000002000000}">
      <formula1>Lieu</formula1>
    </dataValidation>
    <dataValidation type="list" allowBlank="1" showInputMessage="1" showErrorMessage="1" sqref="K7 H7" xr:uid="{00000000-0002-0000-0000-000003000000}">
      <formula1>Categories</formula1>
    </dataValidation>
    <dataValidation type="list" allowBlank="1" showErrorMessage="1" promptTitle="Selectionner " sqref="H3" xr:uid="{00000000-0002-0000-0000-000004000000}">
      <formula1>Mécanisme_de_jeu</formula1>
    </dataValidation>
    <dataValidation type="list" allowBlank="1" showInputMessage="1" showErrorMessage="1" sqref="D29:E29" xr:uid="{00000000-0002-0000-0000-000005000000}">
      <formula1>$C$43:$C$46</formula1>
    </dataValidation>
    <dataValidation type="list" allowBlank="1" showInputMessage="1" showErrorMessage="1" sqref="H5" xr:uid="{00000000-0002-0000-0000-000006000000}">
      <formula1>Stade_epreuve</formula1>
    </dataValidation>
  </dataValidations>
  <hyperlinks>
    <hyperlink ref="A32:H32" r:id="rId1" display="https://www.telemat.org/FFBI/sif/" xr:uid="{00000000-0004-0000-0000-000000000000}"/>
  </hyperlinks>
  <pageMargins left="0.78740157480314965" right="0.78740157480314965" top="0.98425196850393704" bottom="0.98425196850393704" header="0.51181102362204722" footer="0.51181102362204722"/>
  <pageSetup paperSize="9" scale="72" orientation="portrait" verticalDpi="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U120"/>
  <sheetViews>
    <sheetView showGridLines="0" zoomScale="68" zoomScaleNormal="68" workbookViewId="0">
      <selection activeCell="E27" sqref="E27"/>
    </sheetView>
  </sheetViews>
  <sheetFormatPr baseColWidth="10" defaultColWidth="11.42578125" defaultRowHeight="15" x14ac:dyDescent="0.25"/>
  <cols>
    <col min="1" max="1" width="4.5703125" style="49" customWidth="1"/>
    <col min="2" max="2" width="35.7109375" style="49" customWidth="1"/>
    <col min="3" max="3" width="10.7109375" style="49" customWidth="1"/>
    <col min="4" max="4" width="10.7109375" style="51" customWidth="1"/>
    <col min="5" max="6" width="10.7109375" style="49" customWidth="1"/>
    <col min="7" max="7" width="12.7109375" style="224" customWidth="1"/>
    <col min="8" max="9" width="10.7109375" style="49" hidden="1" customWidth="1"/>
    <col min="10" max="10" width="10.7109375" style="49" customWidth="1"/>
    <col min="11" max="11" width="3.140625" style="49" customWidth="1"/>
    <col min="12" max="12" width="4.5703125" style="49" customWidth="1"/>
    <col min="13" max="13" width="35.7109375" style="49" customWidth="1"/>
    <col min="14" max="17" width="10.7109375" style="49" customWidth="1"/>
    <col min="18" max="18" width="12.7109375" style="49" customWidth="1"/>
    <col min="19" max="20" width="10.7109375" style="49" hidden="1" customWidth="1"/>
    <col min="21" max="22" width="10.7109375" style="49" customWidth="1"/>
    <col min="23" max="23" width="11.42578125" style="49" customWidth="1"/>
    <col min="24" max="24" width="20.140625" style="166" hidden="1" customWidth="1"/>
    <col min="25" max="25" width="11.42578125" style="166" hidden="1" customWidth="1"/>
    <col min="26" max="26" width="20.7109375" style="166" hidden="1" customWidth="1"/>
    <col min="27" max="27" width="11.85546875" style="166" hidden="1" customWidth="1"/>
    <col min="28" max="29" width="11.42578125" style="166" hidden="1" customWidth="1"/>
    <col min="30" max="30" width="20.7109375" style="166" hidden="1" customWidth="1"/>
    <col min="31" max="33" width="11.42578125" style="166" hidden="1" customWidth="1"/>
    <col min="34" max="34" width="20.7109375" style="166" hidden="1" customWidth="1"/>
    <col min="35" max="37" width="11.42578125" style="166" hidden="1" customWidth="1"/>
    <col min="38" max="38" width="20.7109375" style="166" hidden="1" customWidth="1"/>
    <col min="39" max="41" width="11.42578125" style="166" hidden="1" customWidth="1"/>
    <col min="42" max="42" width="20.7109375" style="166" hidden="1" customWidth="1"/>
    <col min="43" max="45" width="11.42578125" style="166" hidden="1" customWidth="1"/>
    <col min="46" max="46" width="20.7109375" style="166" hidden="1" customWidth="1"/>
    <col min="47" max="49" width="11.42578125" style="166" hidden="1" customWidth="1"/>
    <col min="50" max="50" width="20.7109375" style="166" hidden="1" customWidth="1"/>
    <col min="51" max="53" width="11.42578125" style="166" hidden="1" customWidth="1"/>
    <col min="54" max="54" width="20.7109375" style="166" hidden="1" customWidth="1"/>
    <col min="55" max="57" width="11.42578125" style="166" hidden="1" customWidth="1"/>
    <col min="58" max="58" width="20.7109375" style="166" hidden="1" customWidth="1"/>
    <col min="59" max="61" width="11.42578125" style="166" hidden="1" customWidth="1"/>
    <col min="62" max="62" width="20.7109375" style="166" hidden="1" customWidth="1"/>
    <col min="63" max="65" width="11.42578125" style="166" hidden="1" customWidth="1"/>
    <col min="66" max="66" width="20.7109375" style="166" hidden="1" customWidth="1"/>
    <col min="67" max="69" width="11.42578125" style="166" hidden="1" customWidth="1"/>
    <col min="70" max="70" width="20.7109375" style="166" hidden="1" customWidth="1"/>
    <col min="71" max="73" width="11.42578125" style="166" hidden="1" customWidth="1"/>
    <col min="74" max="74" width="20.7109375" style="166" hidden="1" customWidth="1"/>
    <col min="75" max="77" width="11.42578125" style="166" hidden="1" customWidth="1"/>
    <col min="78" max="78" width="20.7109375" style="166" hidden="1" customWidth="1"/>
    <col min="79" max="81" width="11.42578125" style="166" hidden="1" customWidth="1"/>
    <col min="82" max="82" width="20.7109375" style="166" hidden="1" customWidth="1"/>
    <col min="83" max="85" width="11.42578125" style="166" hidden="1" customWidth="1"/>
    <col min="86" max="86" width="20.7109375" style="166" hidden="1" customWidth="1"/>
    <col min="87" max="94" width="11.42578125" style="166" hidden="1" customWidth="1"/>
    <col min="95" max="95" width="31.140625" style="166" hidden="1" customWidth="1"/>
    <col min="96" max="96" width="11.42578125" style="166" hidden="1" customWidth="1"/>
    <col min="97" max="97" width="20.140625" style="166" hidden="1" customWidth="1"/>
    <col min="98" max="98" width="8.85546875" style="166" hidden="1" customWidth="1"/>
    <col min="99" max="99" width="25.140625" style="166" hidden="1" customWidth="1"/>
    <col min="100" max="115" width="12.5703125" style="166" hidden="1" customWidth="1"/>
    <col min="116" max="131" width="4.42578125" style="166" hidden="1" customWidth="1"/>
    <col min="132" max="132" width="8.140625" style="166" hidden="1" customWidth="1"/>
    <col min="133" max="138" width="4.42578125" style="166" hidden="1" customWidth="1"/>
    <col min="139" max="143" width="11.42578125" style="166" hidden="1" customWidth="1"/>
    <col min="144" max="144" width="20.7109375" style="166" hidden="1" customWidth="1"/>
    <col min="145" max="151" width="11.42578125" style="93" hidden="1" customWidth="1"/>
    <col min="152" max="169" width="11.42578125" style="166" hidden="1" customWidth="1"/>
    <col min="170" max="170" width="11.42578125" style="49" hidden="1" customWidth="1"/>
    <col min="171" max="171" width="30.28515625" style="49" hidden="1" customWidth="1"/>
    <col min="172" max="172" width="11.42578125" style="49" hidden="1" customWidth="1"/>
    <col min="173" max="173" width="14.28515625" style="49" hidden="1" customWidth="1"/>
    <col min="174" max="175" width="11.42578125" style="49" hidden="1" customWidth="1"/>
    <col min="176" max="211" width="11.42578125" style="49" customWidth="1"/>
    <col min="212" max="16384" width="11.42578125" style="49"/>
  </cols>
  <sheetData>
    <row r="1" spans="1:177" ht="21.95" customHeight="1" x14ac:dyDescent="0.25">
      <c r="B1" s="331"/>
      <c r="C1" s="331"/>
      <c r="D1" s="331"/>
      <c r="E1" s="331"/>
      <c r="F1" s="331"/>
      <c r="G1" s="331"/>
      <c r="H1" s="331"/>
      <c r="I1" s="331"/>
      <c r="J1" s="331"/>
      <c r="K1" s="103"/>
      <c r="L1" s="103"/>
      <c r="M1" s="331"/>
      <c r="N1" s="331"/>
      <c r="O1" s="331"/>
      <c r="P1" s="331"/>
      <c r="Q1" s="331"/>
      <c r="R1" s="331"/>
      <c r="S1" s="331"/>
      <c r="T1" s="331"/>
      <c r="U1" s="331"/>
      <c r="X1" s="166">
        <v>4.92</v>
      </c>
      <c r="EV1" s="330" t="s">
        <v>54</v>
      </c>
      <c r="EW1" s="330"/>
      <c r="EX1" s="330"/>
      <c r="EY1" s="330"/>
      <c r="EZ1" s="330"/>
      <c r="FA1" s="330"/>
      <c r="FB1" s="330"/>
      <c r="FC1" s="330"/>
      <c r="FD1" s="330"/>
      <c r="FE1" s="330"/>
      <c r="FF1" s="330"/>
      <c r="FG1" s="330"/>
      <c r="FH1" s="330"/>
      <c r="FI1" s="330"/>
      <c r="FJ1" s="330"/>
      <c r="FK1" s="330"/>
      <c r="FL1" s="330"/>
      <c r="FM1" s="330"/>
      <c r="FO1" s="166" t="s">
        <v>55</v>
      </c>
      <c r="FP1" s="49" t="s">
        <v>56</v>
      </c>
    </row>
    <row r="2" spans="1:177" ht="21.95" customHeight="1" thickBot="1" x14ac:dyDescent="0.3">
      <c r="X2" s="91"/>
      <c r="Y2" s="92">
        <f>HLOOKUP(A$3,$EV$2:$FM$18,2,FALSE)</f>
        <v>1</v>
      </c>
      <c r="Z2" s="93" t="str">
        <f>VLOOKUP($Y2,Tirage!$A$6:$B$24,2,FALSE)</f>
        <v>DAVID MICHEL</v>
      </c>
      <c r="AA2" s="93" t="s">
        <v>57</v>
      </c>
      <c r="AB2" s="93"/>
      <c r="AC2" s="92">
        <f>HLOOKUP(A$3,$EV$2:$FM$18,3,FALSE)</f>
        <v>2</v>
      </c>
      <c r="AD2" s="93" t="str">
        <f>VLOOKUP(AC$2,Tirage!$A$6:$B$24,2,FALSE)</f>
        <v>FAREZ MICHEL</v>
      </c>
      <c r="AE2" s="93"/>
      <c r="AF2" s="93"/>
      <c r="AG2" s="92">
        <f>HLOOKUP($A$3,$EV$2:$FM$18,4,FALSE)</f>
        <v>3</v>
      </c>
      <c r="AH2" s="93" t="str">
        <f>VLOOKUP(AG$2,Tirage!$A$6:$B$24,2,FALSE)</f>
        <v>LENGAIGNE DANIEL</v>
      </c>
      <c r="AI2" s="93"/>
      <c r="AJ2" s="93"/>
      <c r="AK2" s="92">
        <f>HLOOKUP($A$3,$EV$2:$FM$18,5,FALSE)</f>
        <v>4</v>
      </c>
      <c r="AL2" s="93" t="str">
        <f>VLOOKUP(AK$2,Tirage!$A$6:$B$24,2,FALSE)</f>
        <v>BLANCHARD THIERRY</v>
      </c>
      <c r="AM2" s="93"/>
      <c r="AN2" s="93"/>
      <c r="AO2" s="92">
        <f>HLOOKUP($A$3,$EV$2:$FM$18,6,FALSE)</f>
        <v>5</v>
      </c>
      <c r="AP2" s="93" t="str">
        <f>VLOOKUP(AO$2,Tirage!$A$6:$B$24,2,FALSE)</f>
        <v>CARDON CHRISTIAN</v>
      </c>
      <c r="AQ2" s="93"/>
      <c r="AR2" s="93"/>
      <c r="AS2" s="92">
        <f>HLOOKUP($A$3,$EV$2:$FM$18,7,FALSE)</f>
        <v>6</v>
      </c>
      <c r="AT2" s="93" t="str">
        <f>VLOOKUP(AS$2,Tirage!$A$6:$B$24,2,FALSE)</f>
        <v>GERONIMI THIERRY</v>
      </c>
      <c r="AU2" s="93"/>
      <c r="AV2" s="93"/>
      <c r="AW2" s="92">
        <f>HLOOKUP($A$3,$EV$2:$FM$18,8,FALSE)</f>
        <v>0</v>
      </c>
      <c r="AX2" s="93" t="e">
        <f>VLOOKUP(AW$2,Tirage!$A$6:$B$24,2,FALSE)</f>
        <v>#N/A</v>
      </c>
      <c r="AY2" s="93"/>
      <c r="AZ2" s="93"/>
      <c r="BA2" s="92">
        <f>HLOOKUP($A$3,$EV$2:$FM$18,9,FALSE)</f>
        <v>0</v>
      </c>
      <c r="BB2" s="93" t="e">
        <f>VLOOKUP(BA$2,Tirage!$A$6:$B$24,2,FALSE)</f>
        <v>#N/A</v>
      </c>
      <c r="BC2" s="93"/>
      <c r="BD2" s="93"/>
      <c r="BE2" s="92">
        <f>HLOOKUP($A$3,$EV$2:$FM$18,10,FALSE)</f>
        <v>0</v>
      </c>
      <c r="BF2" s="93" t="e">
        <f>VLOOKUP(BE$2,Tirage!$A$6:$B$24,2,FALSE)</f>
        <v>#N/A</v>
      </c>
      <c r="BG2" s="93"/>
      <c r="BH2" s="93"/>
      <c r="BI2" s="92">
        <f>HLOOKUP($A$3,$EV$2:$FM$18,11,FALSE)</f>
        <v>0</v>
      </c>
      <c r="BJ2" s="93" t="e">
        <f>VLOOKUP(BI$2,Tirage!$A$6:$B$24,2,FALSE)</f>
        <v>#N/A</v>
      </c>
      <c r="BK2" s="94"/>
      <c r="BL2" s="95"/>
      <c r="BM2" s="92">
        <f>HLOOKUP($A$3,$EV$2:$FM$18,12,FALSE)</f>
        <v>0</v>
      </c>
      <c r="BN2" s="93" t="e">
        <f>VLOOKUP(BM$2,Tirage!$A$6:$B$24,2,FALSE)</f>
        <v>#N/A</v>
      </c>
      <c r="BO2" s="94"/>
      <c r="BP2" s="95"/>
      <c r="BQ2" s="92">
        <f>HLOOKUP($A$3,$EV$2:$FM$18,13,FALSE)</f>
        <v>0</v>
      </c>
      <c r="BR2" s="93" t="e">
        <f>VLOOKUP(BQ$2,Tirage!$A$6:$B$24,2,FALSE)</f>
        <v>#N/A</v>
      </c>
      <c r="BS2" s="93"/>
      <c r="BT2" s="93"/>
      <c r="BU2" s="92">
        <f>HLOOKUP($A$3,$EV$2:$FM$18,14,FALSE)</f>
        <v>0</v>
      </c>
      <c r="BV2" s="93" t="e">
        <f>VLOOKUP(BU$2,Tirage!$A$6:$B$24,2,FALSE)</f>
        <v>#N/A</v>
      </c>
      <c r="BW2" s="94"/>
      <c r="BX2" s="95"/>
      <c r="BY2" s="92">
        <f>HLOOKUP($A$3,$EV$2:$FM$18,15,FALSE)</f>
        <v>0</v>
      </c>
      <c r="BZ2" s="93" t="e">
        <f>VLOOKUP(BY$2,Tirage!$A$6:$B$24,2,FALSE)</f>
        <v>#N/A</v>
      </c>
      <c r="CA2" s="94"/>
      <c r="CB2" s="95"/>
      <c r="CC2" s="92">
        <f>HLOOKUP($A$3,$EV$2:$FM$18,16,FALSE)</f>
        <v>0</v>
      </c>
      <c r="CD2" s="93" t="e">
        <f>VLOOKUP(CC$2,Tirage!$A$6:$B$24,2,FALSE)</f>
        <v>#N/A</v>
      </c>
      <c r="CE2" s="94"/>
      <c r="CF2" s="95"/>
      <c r="CG2" s="92">
        <f>HLOOKUP($A$3,$EV$2:$FM$18,17,FALSE)</f>
        <v>0</v>
      </c>
      <c r="CH2" s="93" t="e">
        <f>VLOOKUP(CG$2,Tirage!$A$6:$B$24,2,FALSE)</f>
        <v>#N/A</v>
      </c>
      <c r="CI2" s="94"/>
      <c r="CJ2" s="95"/>
      <c r="CK2" s="92"/>
      <c r="CL2" s="93"/>
      <c r="CM2" s="94"/>
      <c r="CN2" s="95"/>
      <c r="CV2" s="93">
        <v>2</v>
      </c>
      <c r="CW2" s="93" t="s">
        <v>17</v>
      </c>
      <c r="CX2" s="93">
        <v>3</v>
      </c>
      <c r="CY2" s="93" t="s">
        <v>9</v>
      </c>
      <c r="CZ2" s="104">
        <v>0</v>
      </c>
      <c r="DA2" s="93"/>
      <c r="DB2" s="93" t="s">
        <v>58</v>
      </c>
      <c r="DC2" s="93" t="s">
        <v>18</v>
      </c>
      <c r="DD2" s="93">
        <v>4</v>
      </c>
      <c r="DE2" s="166" t="s">
        <v>10</v>
      </c>
      <c r="DF2" s="93">
        <v>4.5</v>
      </c>
      <c r="DG2" s="93" t="s">
        <v>19</v>
      </c>
      <c r="DH2" s="93">
        <v>5</v>
      </c>
      <c r="DI2" s="93" t="s">
        <v>22</v>
      </c>
      <c r="DJ2" s="93">
        <v>6</v>
      </c>
      <c r="DK2" s="93" t="s">
        <v>26</v>
      </c>
      <c r="DL2" s="93"/>
      <c r="DM2" s="93">
        <v>2</v>
      </c>
      <c r="DN2" s="93" t="s">
        <v>17</v>
      </c>
      <c r="DO2" s="93">
        <v>3</v>
      </c>
      <c r="DP2" s="93" t="s">
        <v>9</v>
      </c>
      <c r="DQ2" s="93">
        <v>0</v>
      </c>
      <c r="DR2" s="93"/>
      <c r="DS2" s="93" t="s">
        <v>58</v>
      </c>
      <c r="DT2" s="93" t="s">
        <v>18</v>
      </c>
      <c r="DU2" s="93">
        <v>4</v>
      </c>
      <c r="DV2" s="166" t="s">
        <v>10</v>
      </c>
      <c r="DW2" s="93">
        <v>4.5</v>
      </c>
      <c r="DX2" s="93" t="s">
        <v>19</v>
      </c>
      <c r="DY2" s="93">
        <v>5</v>
      </c>
      <c r="DZ2" s="93" t="s">
        <v>22</v>
      </c>
      <c r="EA2" s="93">
        <v>6</v>
      </c>
      <c r="EB2" s="93" t="s">
        <v>26</v>
      </c>
      <c r="EC2" s="93"/>
      <c r="ED2" s="93"/>
      <c r="EE2" s="93"/>
      <c r="EF2" s="93"/>
      <c r="EG2" s="93"/>
      <c r="EH2" s="93"/>
      <c r="EJ2" s="93">
        <v>1</v>
      </c>
      <c r="EK2" s="93"/>
      <c r="EL2" s="93"/>
      <c r="EM2" s="93"/>
      <c r="EN2" s="93"/>
      <c r="EV2" s="93">
        <v>2</v>
      </c>
      <c r="EW2" s="93" t="s">
        <v>17</v>
      </c>
      <c r="EX2" s="93">
        <v>3</v>
      </c>
      <c r="EY2" s="93" t="s">
        <v>9</v>
      </c>
      <c r="EZ2" s="93" t="s">
        <v>59</v>
      </c>
      <c r="FA2" s="93" t="s">
        <v>60</v>
      </c>
      <c r="FB2" s="93" t="s">
        <v>58</v>
      </c>
      <c r="FC2" s="93" t="s">
        <v>18</v>
      </c>
      <c r="FD2" s="93">
        <v>4</v>
      </c>
      <c r="FE2" s="166" t="s">
        <v>10</v>
      </c>
      <c r="FF2" s="93">
        <v>4.5</v>
      </c>
      <c r="FG2" s="93" t="s">
        <v>19</v>
      </c>
      <c r="FH2" s="93">
        <v>5</v>
      </c>
      <c r="FI2" s="93" t="s">
        <v>22</v>
      </c>
      <c r="FJ2" s="93">
        <v>6</v>
      </c>
      <c r="FK2" s="93" t="s">
        <v>26</v>
      </c>
      <c r="FL2" s="93"/>
      <c r="FM2" s="93"/>
      <c r="FN2" s="166"/>
      <c r="FO2" s="166"/>
      <c r="FP2" s="167">
        <v>3</v>
      </c>
      <c r="FQ2" s="166" t="s">
        <v>9</v>
      </c>
      <c r="FR2" s="166" t="s">
        <v>26</v>
      </c>
      <c r="FS2" s="166"/>
      <c r="FT2" s="166"/>
      <c r="FU2" s="168"/>
    </row>
    <row r="3" spans="1:177" ht="21.95" customHeight="1" x14ac:dyDescent="0.25">
      <c r="A3" s="51" t="str">
        <f>Tirage!Q5</f>
        <v>3p2</v>
      </c>
      <c r="B3" s="325" t="str">
        <f>HLOOKUP($A$3,TourDeJeu,27,FALSE)</f>
        <v>Tour n°1</v>
      </c>
      <c r="C3" s="326"/>
      <c r="D3" s="326"/>
      <c r="E3" s="326"/>
      <c r="F3" s="326"/>
      <c r="G3" s="326"/>
      <c r="H3" s="326"/>
      <c r="I3" s="326"/>
      <c r="J3" s="327"/>
      <c r="K3" s="96"/>
      <c r="L3" s="96"/>
      <c r="M3" s="325" t="str">
        <f>HLOOKUP($A$3,TourDeJeu2,27,FALSE)</f>
        <v>-</v>
      </c>
      <c r="N3" s="326"/>
      <c r="O3" s="326"/>
      <c r="P3" s="326"/>
      <c r="Q3" s="326"/>
      <c r="R3" s="326"/>
      <c r="S3" s="326"/>
      <c r="T3" s="326"/>
      <c r="U3" s="327"/>
      <c r="V3" s="96"/>
      <c r="X3" s="91" t="s">
        <v>61</v>
      </c>
      <c r="Y3" s="97">
        <f>VLOOKUP(Z$2,Poule1,3,FALSE)</f>
        <v>60</v>
      </c>
      <c r="Z3" s="98" t="s">
        <v>61</v>
      </c>
      <c r="AA3" s="98">
        <f t="shared" ref="AA3:AA8" si="0">IF(ISERROR(Y3),0,Y3)</f>
        <v>60</v>
      </c>
      <c r="AB3" s="98"/>
      <c r="AC3" s="97" t="e">
        <f>VLOOKUP(AD$2,Poule1,3,FALSE)</f>
        <v>#N/A</v>
      </c>
      <c r="AD3" s="98" t="s">
        <v>61</v>
      </c>
      <c r="AE3" s="98">
        <f t="shared" ref="AE3:AE8" si="1">IF(ISERROR(AC3),0,AC3)</f>
        <v>0</v>
      </c>
      <c r="AF3" s="98"/>
      <c r="AG3" s="97">
        <f>VLOOKUP(AH$2,Poule1,3,FALSE)</f>
        <v>39</v>
      </c>
      <c r="AH3" s="98" t="s">
        <v>61</v>
      </c>
      <c r="AI3" s="98">
        <f t="shared" ref="AI3:AI8" si="2">IF(ISERROR(AG3),0,AG3)</f>
        <v>39</v>
      </c>
      <c r="AJ3" s="98"/>
      <c r="AK3" s="97" t="e">
        <f>VLOOKUP(AL$2,Poule1,3,FALSE)</f>
        <v>#N/A</v>
      </c>
      <c r="AL3" s="98" t="s">
        <v>61</v>
      </c>
      <c r="AM3" s="98">
        <f t="shared" ref="AM3:AM8" si="3">IF(ISERROR(AK3),0,AK3)</f>
        <v>0</v>
      </c>
      <c r="AN3" s="98"/>
      <c r="AO3" s="97">
        <f>VLOOKUP(AP$2,Poule1,3,FALSE)</f>
        <v>60</v>
      </c>
      <c r="AP3" s="98" t="s">
        <v>61</v>
      </c>
      <c r="AQ3" s="98">
        <f t="shared" ref="AQ3:AQ8" si="4">IF(ISERROR(AO3),0,AO3)</f>
        <v>60</v>
      </c>
      <c r="AR3" s="98"/>
      <c r="AS3" s="97">
        <f>VLOOKUP(AT$2,Poule1,3,FALSE)</f>
        <v>49</v>
      </c>
      <c r="AT3" s="98" t="s">
        <v>61</v>
      </c>
      <c r="AU3" s="98">
        <f t="shared" ref="AU3:AU8" si="5">IF(ISERROR(AS3),0,AS3)</f>
        <v>49</v>
      </c>
      <c r="AV3" s="98"/>
      <c r="AW3" s="97" t="e">
        <f>VLOOKUP(AX$2,Poule1,3,FALSE)</f>
        <v>#N/A</v>
      </c>
      <c r="AX3" s="98" t="s">
        <v>61</v>
      </c>
      <c r="AY3" s="98">
        <f t="shared" ref="AY3:AY8" si="6">IF(ISERROR(AW3),0,AW3)</f>
        <v>0</v>
      </c>
      <c r="AZ3" s="98"/>
      <c r="BA3" s="97" t="e">
        <f>VLOOKUP(BB$2,Poule1,3,FALSE)</f>
        <v>#N/A</v>
      </c>
      <c r="BB3" s="98" t="s">
        <v>61</v>
      </c>
      <c r="BC3" s="98">
        <f t="shared" ref="BC3:BC8" si="7">IF(ISERROR(BA3),0,BA3)</f>
        <v>0</v>
      </c>
      <c r="BD3" s="98"/>
      <c r="BE3" s="97" t="e">
        <f>VLOOKUP(BF$2,Poule1,3,FALSE)</f>
        <v>#N/A</v>
      </c>
      <c r="BF3" s="98" t="s">
        <v>61</v>
      </c>
      <c r="BG3" s="98">
        <f t="shared" ref="BG3:BG8" si="8">IF(ISERROR(BE3),0,BE3)</f>
        <v>0</v>
      </c>
      <c r="BH3" s="98"/>
      <c r="BI3" s="97" t="e">
        <f>VLOOKUP(BJ$2,Poule1,3,FALSE)</f>
        <v>#N/A</v>
      </c>
      <c r="BJ3" s="98" t="s">
        <v>61</v>
      </c>
      <c r="BK3" s="98">
        <f t="shared" ref="BK3:BK8" si="9">IF(ISERROR(BI3),0,BI3)</f>
        <v>0</v>
      </c>
      <c r="BL3" s="98"/>
      <c r="BM3" s="97" t="e">
        <f>VLOOKUP(BN$2,Poule1,3,FALSE)</f>
        <v>#N/A</v>
      </c>
      <c r="BN3" s="98" t="s">
        <v>61</v>
      </c>
      <c r="BO3" s="98">
        <f t="shared" ref="BO3:BO8" si="10">IF(ISERROR(BM3),0,BM3)</f>
        <v>0</v>
      </c>
      <c r="BP3" s="98"/>
      <c r="BQ3" s="97" t="e">
        <f>VLOOKUP(BR$2,Poule1,3,FALSE)</f>
        <v>#N/A</v>
      </c>
      <c r="BR3" s="98" t="s">
        <v>61</v>
      </c>
      <c r="BS3" s="98">
        <f t="shared" ref="BS3:BS8" si="11">IF(ISERROR(BQ3),0,BQ3)</f>
        <v>0</v>
      </c>
      <c r="BT3" s="98"/>
      <c r="BU3" s="97" t="e">
        <f>VLOOKUP(BV$2,Poule1,3,FALSE)</f>
        <v>#N/A</v>
      </c>
      <c r="BV3" s="98" t="s">
        <v>61</v>
      </c>
      <c r="BW3" s="98">
        <f t="shared" ref="BW3:BW8" si="12">IF(ISERROR(BU3),0,BU3)</f>
        <v>0</v>
      </c>
      <c r="BX3" s="98"/>
      <c r="BY3" s="97" t="e">
        <f>VLOOKUP(BZ$2,Poule1,3,FALSE)</f>
        <v>#N/A</v>
      </c>
      <c r="BZ3" s="98" t="s">
        <v>61</v>
      </c>
      <c r="CA3" s="98">
        <f t="shared" ref="CA3:CA8" si="13">IF(ISERROR(BY3),0,BY3)</f>
        <v>0</v>
      </c>
      <c r="CB3" s="98"/>
      <c r="CC3" s="97" t="e">
        <f>VLOOKUP(CD$2,Poule1,3,FALSE)</f>
        <v>#N/A</v>
      </c>
      <c r="CD3" s="98" t="s">
        <v>61</v>
      </c>
      <c r="CE3" s="98">
        <f t="shared" ref="CE3:CE8" si="14">IF(ISERROR(CC3),0,CC3)</f>
        <v>0</v>
      </c>
      <c r="CF3" s="98"/>
      <c r="CG3" s="97" t="e">
        <f>VLOOKUP(CH$2,Poule1,3,FALSE)</f>
        <v>#N/A</v>
      </c>
      <c r="CH3" s="98" t="s">
        <v>61</v>
      </c>
      <c r="CI3" s="98">
        <f t="shared" ref="CI3:CI8" si="15">IF(ISERROR(CG3),0,CG3)</f>
        <v>0</v>
      </c>
      <c r="CJ3" s="98"/>
      <c r="CK3" s="97"/>
      <c r="CL3" s="98"/>
      <c r="CM3" s="98"/>
      <c r="CN3" s="99"/>
      <c r="CQ3" s="169" t="s">
        <v>62</v>
      </c>
      <c r="CR3" s="1">
        <v>2</v>
      </c>
      <c r="EJ3" s="93">
        <v>2</v>
      </c>
      <c r="EK3" s="93"/>
      <c r="EL3" s="93"/>
      <c r="EM3" s="93" t="s">
        <v>63</v>
      </c>
      <c r="EN3" s="93"/>
      <c r="EV3" s="170">
        <v>1</v>
      </c>
      <c r="EW3" s="171">
        <v>1</v>
      </c>
      <c r="EX3" s="171">
        <v>1</v>
      </c>
      <c r="EY3" s="171">
        <v>1</v>
      </c>
      <c r="EZ3" s="171"/>
      <c r="FA3" s="171"/>
      <c r="FB3" s="171">
        <v>1</v>
      </c>
      <c r="FC3" s="171">
        <v>1</v>
      </c>
      <c r="FD3" s="171">
        <v>1</v>
      </c>
      <c r="FE3" s="171">
        <v>1</v>
      </c>
      <c r="FF3" s="171">
        <v>1</v>
      </c>
      <c r="FG3" s="171">
        <v>1</v>
      </c>
      <c r="FH3" s="172">
        <v>1</v>
      </c>
      <c r="FI3" s="172">
        <v>1</v>
      </c>
      <c r="FJ3" s="172">
        <v>1</v>
      </c>
      <c r="FK3" s="172">
        <v>1</v>
      </c>
      <c r="FL3" s="172"/>
      <c r="FM3" s="173"/>
      <c r="FN3" s="166"/>
      <c r="FO3" s="166"/>
      <c r="FP3" s="167">
        <v>1</v>
      </c>
      <c r="FQ3" s="166">
        <v>1</v>
      </c>
      <c r="FR3" s="166">
        <v>1</v>
      </c>
      <c r="FS3" s="166"/>
      <c r="FT3" s="166"/>
      <c r="FU3" s="168"/>
    </row>
    <row r="4" spans="1:177" ht="21.95" customHeight="1" x14ac:dyDescent="0.25">
      <c r="X4" s="91" t="s">
        <v>64</v>
      </c>
      <c r="Y4" s="100" t="e">
        <f>VLOOKUP(Z$2,poule2,3,FALSE)</f>
        <v>#N/A</v>
      </c>
      <c r="Z4" s="101" t="s">
        <v>64</v>
      </c>
      <c r="AA4" s="101">
        <f t="shared" si="0"/>
        <v>0</v>
      </c>
      <c r="AB4" s="101"/>
      <c r="AC4" s="100">
        <f>VLOOKUP(AD$2,poule2,3,FALSE)</f>
        <v>51</v>
      </c>
      <c r="AD4" s="101" t="s">
        <v>64</v>
      </c>
      <c r="AE4" s="101">
        <f t="shared" si="1"/>
        <v>51</v>
      </c>
      <c r="AF4" s="101"/>
      <c r="AG4" s="100">
        <f>VLOOKUP(AH$2,poule2,3,FALSE)</f>
        <v>42</v>
      </c>
      <c r="AH4" s="101" t="s">
        <v>64</v>
      </c>
      <c r="AI4" s="101">
        <f t="shared" si="2"/>
        <v>42</v>
      </c>
      <c r="AJ4" s="101"/>
      <c r="AK4" s="100">
        <f>VLOOKUP(AL$2,poule2,3,FALSE)</f>
        <v>60</v>
      </c>
      <c r="AL4" s="101" t="s">
        <v>64</v>
      </c>
      <c r="AM4" s="101">
        <f t="shared" si="3"/>
        <v>60</v>
      </c>
      <c r="AN4" s="101"/>
      <c r="AO4" s="100" t="e">
        <f>VLOOKUP(AP$2,poule2,3,FALSE)</f>
        <v>#N/A</v>
      </c>
      <c r="AP4" s="101" t="s">
        <v>64</v>
      </c>
      <c r="AQ4" s="101">
        <f t="shared" si="4"/>
        <v>0</v>
      </c>
      <c r="AR4" s="101"/>
      <c r="AS4" s="100">
        <f>VLOOKUP(AT$2,poule2,3,FALSE)</f>
        <v>42</v>
      </c>
      <c r="AT4" s="101" t="s">
        <v>64</v>
      </c>
      <c r="AU4" s="101">
        <f t="shared" si="5"/>
        <v>42</v>
      </c>
      <c r="AV4" s="101"/>
      <c r="AW4" s="100" t="e">
        <f>VLOOKUP(AX$2,poule2,3,FALSE)</f>
        <v>#N/A</v>
      </c>
      <c r="AX4" s="101" t="s">
        <v>64</v>
      </c>
      <c r="AY4" s="101">
        <f t="shared" si="6"/>
        <v>0</v>
      </c>
      <c r="AZ4" s="101"/>
      <c r="BA4" s="100" t="e">
        <f>VLOOKUP(BB$2,poule2,3,FALSE)</f>
        <v>#N/A</v>
      </c>
      <c r="BB4" s="101" t="s">
        <v>64</v>
      </c>
      <c r="BC4" s="101">
        <f t="shared" si="7"/>
        <v>0</v>
      </c>
      <c r="BD4" s="101"/>
      <c r="BE4" s="100" t="e">
        <f>VLOOKUP(BF$2,poule2,3,FALSE)</f>
        <v>#N/A</v>
      </c>
      <c r="BF4" s="101" t="s">
        <v>64</v>
      </c>
      <c r="BG4" s="101">
        <f t="shared" si="8"/>
        <v>0</v>
      </c>
      <c r="BH4" s="101"/>
      <c r="BI4" s="100" t="e">
        <f>VLOOKUP(BJ$2,poule2,3,FALSE)</f>
        <v>#N/A</v>
      </c>
      <c r="BJ4" s="101" t="s">
        <v>64</v>
      </c>
      <c r="BK4" s="101">
        <f t="shared" si="9"/>
        <v>0</v>
      </c>
      <c r="BL4" s="101"/>
      <c r="BM4" s="100" t="e">
        <f>VLOOKUP(BN$2,poule2,3,FALSE)</f>
        <v>#N/A</v>
      </c>
      <c r="BN4" s="101" t="s">
        <v>64</v>
      </c>
      <c r="BO4" s="101">
        <f t="shared" si="10"/>
        <v>0</v>
      </c>
      <c r="BP4" s="101"/>
      <c r="BQ4" s="100" t="e">
        <f>VLOOKUP(BR$2,poule2,3,FALSE)</f>
        <v>#N/A</v>
      </c>
      <c r="BR4" s="101" t="s">
        <v>64</v>
      </c>
      <c r="BS4" s="101">
        <f t="shared" si="11"/>
        <v>0</v>
      </c>
      <c r="BT4" s="101"/>
      <c r="BU4" s="100" t="e">
        <f>VLOOKUP(BV$2,poule2,3,FALSE)</f>
        <v>#N/A</v>
      </c>
      <c r="BV4" s="101" t="s">
        <v>64</v>
      </c>
      <c r="BW4" s="101">
        <f t="shared" si="12"/>
        <v>0</v>
      </c>
      <c r="BX4" s="101"/>
      <c r="BY4" s="100" t="e">
        <f>VLOOKUP(BZ$2,poule2,3,FALSE)</f>
        <v>#N/A</v>
      </c>
      <c r="BZ4" s="101" t="s">
        <v>64</v>
      </c>
      <c r="CA4" s="101">
        <f t="shared" si="13"/>
        <v>0</v>
      </c>
      <c r="CB4" s="101"/>
      <c r="CC4" s="100" t="e">
        <f>VLOOKUP(CD$2,poule2,3,FALSE)</f>
        <v>#N/A</v>
      </c>
      <c r="CD4" s="101" t="s">
        <v>64</v>
      </c>
      <c r="CE4" s="101">
        <f t="shared" si="14"/>
        <v>0</v>
      </c>
      <c r="CF4" s="101"/>
      <c r="CG4" s="100" t="e">
        <f>VLOOKUP(CH$2,poule2,3,FALSE)</f>
        <v>#N/A</v>
      </c>
      <c r="CH4" s="101" t="s">
        <v>64</v>
      </c>
      <c r="CI4" s="101">
        <f t="shared" si="15"/>
        <v>0</v>
      </c>
      <c r="CJ4" s="101"/>
      <c r="CK4" s="100"/>
      <c r="CL4" s="101"/>
      <c r="CM4" s="101"/>
      <c r="CN4" s="102"/>
      <c r="CQ4" s="169" t="s">
        <v>65</v>
      </c>
      <c r="CR4" s="1" t="s">
        <v>17</v>
      </c>
      <c r="CU4" s="103"/>
      <c r="EJ4" s="93">
        <v>3</v>
      </c>
      <c r="EK4" s="93"/>
      <c r="EL4" s="93"/>
      <c r="EM4" s="93"/>
      <c r="EN4" s="93" t="s">
        <v>66</v>
      </c>
      <c r="EO4" s="104" t="s">
        <v>67</v>
      </c>
      <c r="EV4" s="174">
        <v>2</v>
      </c>
      <c r="EW4" s="175">
        <v>2</v>
      </c>
      <c r="EX4" s="175">
        <v>2</v>
      </c>
      <c r="EY4" s="175">
        <v>2</v>
      </c>
      <c r="EZ4" s="175"/>
      <c r="FA4" s="175"/>
      <c r="FB4" s="175">
        <v>2</v>
      </c>
      <c r="FC4" s="175">
        <v>2</v>
      </c>
      <c r="FD4" s="175">
        <v>2</v>
      </c>
      <c r="FE4" s="175">
        <v>2</v>
      </c>
      <c r="FF4" s="175">
        <v>2</v>
      </c>
      <c r="FG4" s="175">
        <v>2</v>
      </c>
      <c r="FH4" s="176">
        <v>2</v>
      </c>
      <c r="FI4" s="176">
        <v>2</v>
      </c>
      <c r="FJ4" s="176">
        <v>2</v>
      </c>
      <c r="FK4" s="176">
        <v>2</v>
      </c>
      <c r="FL4" s="176"/>
      <c r="FM4" s="177"/>
      <c r="FN4" s="166"/>
      <c r="FO4" s="166"/>
      <c r="FP4" s="167">
        <v>2</v>
      </c>
      <c r="FQ4" s="166">
        <v>2</v>
      </c>
      <c r="FR4" s="166">
        <v>4</v>
      </c>
      <c r="FS4" s="166"/>
      <c r="FT4" s="166"/>
      <c r="FU4" s="166"/>
    </row>
    <row r="5" spans="1:177" ht="21.95" customHeight="1" thickBot="1" x14ac:dyDescent="0.3">
      <c r="B5" s="42" t="s">
        <v>68</v>
      </c>
      <c r="C5" s="42" t="s">
        <v>15</v>
      </c>
      <c r="D5" s="189" t="s">
        <v>57</v>
      </c>
      <c r="E5" s="42" t="s">
        <v>69</v>
      </c>
      <c r="F5" s="42" t="s">
        <v>70</v>
      </c>
      <c r="G5" s="81" t="s">
        <v>71</v>
      </c>
      <c r="H5" s="42" t="s">
        <v>72</v>
      </c>
      <c r="I5" s="42"/>
      <c r="J5" s="42" t="s">
        <v>73</v>
      </c>
      <c r="M5" s="42" t="s">
        <v>68</v>
      </c>
      <c r="N5" s="42" t="s">
        <v>15</v>
      </c>
      <c r="O5" s="189" t="s">
        <v>57</v>
      </c>
      <c r="P5" s="42" t="s">
        <v>69</v>
      </c>
      <c r="Q5" s="42" t="s">
        <v>70</v>
      </c>
      <c r="R5" s="42" t="s">
        <v>71</v>
      </c>
      <c r="S5" s="42" t="s">
        <v>72</v>
      </c>
      <c r="T5" s="42"/>
      <c r="U5" s="42" t="s">
        <v>73</v>
      </c>
      <c r="X5" s="91" t="s">
        <v>74</v>
      </c>
      <c r="Y5" s="105">
        <f>VLOOKUP(Z$2,poule3,3,FALSE)</f>
        <v>60</v>
      </c>
      <c r="Z5" s="101" t="s">
        <v>74</v>
      </c>
      <c r="AA5" s="101">
        <f t="shared" si="0"/>
        <v>60</v>
      </c>
      <c r="AB5" s="102"/>
      <c r="AC5" s="105">
        <f>VLOOKUP(AD$2,poule3,3,FALSE)</f>
        <v>49</v>
      </c>
      <c r="AD5" s="101" t="s">
        <v>74</v>
      </c>
      <c r="AE5" s="101">
        <f t="shared" si="1"/>
        <v>49</v>
      </c>
      <c r="AF5" s="102"/>
      <c r="AG5" s="105" t="e">
        <f>VLOOKUP(AH$2,poule3,3,FALSE)</f>
        <v>#N/A</v>
      </c>
      <c r="AH5" s="101" t="s">
        <v>74</v>
      </c>
      <c r="AI5" s="101">
        <f t="shared" si="2"/>
        <v>0</v>
      </c>
      <c r="AJ5" s="102"/>
      <c r="AK5" s="105">
        <f>VLOOKUP(AL$2,poule3,3,FALSE)</f>
        <v>58</v>
      </c>
      <c r="AL5" s="101" t="s">
        <v>74</v>
      </c>
      <c r="AM5" s="101">
        <f t="shared" si="3"/>
        <v>58</v>
      </c>
      <c r="AN5" s="102"/>
      <c r="AO5" s="105">
        <f>VLOOKUP(AP$2,poule3,3,FALSE)</f>
        <v>56</v>
      </c>
      <c r="AP5" s="101" t="s">
        <v>74</v>
      </c>
      <c r="AQ5" s="101">
        <f t="shared" si="4"/>
        <v>56</v>
      </c>
      <c r="AR5" s="102"/>
      <c r="AS5" s="105" t="e">
        <f>VLOOKUP(AT$2,poule3,3,FALSE)</f>
        <v>#N/A</v>
      </c>
      <c r="AT5" s="101" t="s">
        <v>74</v>
      </c>
      <c r="AU5" s="101">
        <f t="shared" si="5"/>
        <v>0</v>
      </c>
      <c r="AV5" s="102"/>
      <c r="AW5" s="105" t="e">
        <f>VLOOKUP(AX$2,poule3,3,FALSE)</f>
        <v>#N/A</v>
      </c>
      <c r="AX5" s="101" t="s">
        <v>74</v>
      </c>
      <c r="AY5" s="101">
        <f t="shared" si="6"/>
        <v>0</v>
      </c>
      <c r="AZ5" s="102"/>
      <c r="BA5" s="105" t="e">
        <f>VLOOKUP(BB$2,poule3,3,FALSE)</f>
        <v>#N/A</v>
      </c>
      <c r="BB5" s="101" t="s">
        <v>74</v>
      </c>
      <c r="BC5" s="101">
        <f t="shared" si="7"/>
        <v>0</v>
      </c>
      <c r="BD5" s="102"/>
      <c r="BE5" s="105" t="e">
        <f>VLOOKUP(BF$2,poule3,3,FALSE)</f>
        <v>#N/A</v>
      </c>
      <c r="BF5" s="101" t="s">
        <v>74</v>
      </c>
      <c r="BG5" s="101">
        <f t="shared" si="8"/>
        <v>0</v>
      </c>
      <c r="BH5" s="102"/>
      <c r="BI5" s="105" t="e">
        <f>VLOOKUP(BJ$2,poule3,3,FALSE)</f>
        <v>#N/A</v>
      </c>
      <c r="BJ5" s="101" t="s">
        <v>74</v>
      </c>
      <c r="BK5" s="101">
        <f t="shared" si="9"/>
        <v>0</v>
      </c>
      <c r="BL5" s="102"/>
      <c r="BM5" s="105" t="e">
        <f>VLOOKUP(BN$2,poule3,3,FALSE)</f>
        <v>#N/A</v>
      </c>
      <c r="BN5" s="101" t="s">
        <v>74</v>
      </c>
      <c r="BO5" s="101">
        <f t="shared" si="10"/>
        <v>0</v>
      </c>
      <c r="BP5" s="102"/>
      <c r="BQ5" s="105" t="e">
        <f>VLOOKUP(BR$2,poule3,3,FALSE)</f>
        <v>#N/A</v>
      </c>
      <c r="BR5" s="101" t="s">
        <v>74</v>
      </c>
      <c r="BS5" s="101">
        <f t="shared" si="11"/>
        <v>0</v>
      </c>
      <c r="BT5" s="102"/>
      <c r="BU5" s="105" t="e">
        <f>VLOOKUP(BV$2,poule3,3,FALSE)</f>
        <v>#N/A</v>
      </c>
      <c r="BV5" s="101" t="s">
        <v>74</v>
      </c>
      <c r="BW5" s="101">
        <f t="shared" si="12"/>
        <v>0</v>
      </c>
      <c r="BX5" s="102"/>
      <c r="BY5" s="105" t="e">
        <f>VLOOKUP(BZ$2,poule3,3,FALSE)</f>
        <v>#N/A</v>
      </c>
      <c r="BZ5" s="101" t="s">
        <v>74</v>
      </c>
      <c r="CA5" s="101">
        <f t="shared" si="13"/>
        <v>0</v>
      </c>
      <c r="CB5" s="102"/>
      <c r="CC5" s="105" t="e">
        <f>VLOOKUP(CD$2,poule3,3,FALSE)</f>
        <v>#N/A</v>
      </c>
      <c r="CD5" s="101" t="s">
        <v>74</v>
      </c>
      <c r="CE5" s="101">
        <f t="shared" si="14"/>
        <v>0</v>
      </c>
      <c r="CF5" s="102"/>
      <c r="CG5" s="105" t="e">
        <f>VLOOKUP(CH$2,poule3,3,FALSE)</f>
        <v>#N/A</v>
      </c>
      <c r="CH5" s="101" t="s">
        <v>74</v>
      </c>
      <c r="CI5" s="101">
        <f t="shared" si="15"/>
        <v>0</v>
      </c>
      <c r="CJ5" s="102"/>
      <c r="CK5" s="100"/>
      <c r="CL5" s="101"/>
      <c r="CM5" s="101"/>
      <c r="CN5" s="102"/>
      <c r="CQ5" s="169" t="s">
        <v>75</v>
      </c>
      <c r="CR5" s="1">
        <v>3</v>
      </c>
      <c r="CU5" s="103"/>
      <c r="EJ5" s="93">
        <v>4</v>
      </c>
      <c r="EK5" s="93"/>
      <c r="EL5" s="93"/>
      <c r="EM5" s="93" t="s">
        <v>76</v>
      </c>
      <c r="EN5" s="93">
        <f>IF(I6=I7,21,IF(I6&gt;I7,A6,A7))</f>
        <v>2</v>
      </c>
      <c r="EO5" s="93" t="e">
        <f>IF(J31+J32=0,21,IF(J31=2,A31,A32))</f>
        <v>#VALUE!</v>
      </c>
      <c r="EV5" s="174"/>
      <c r="EW5" s="175"/>
      <c r="EX5" s="175">
        <v>3</v>
      </c>
      <c r="EY5" s="175">
        <v>3</v>
      </c>
      <c r="EZ5" s="175"/>
      <c r="FA5" s="175"/>
      <c r="FB5" s="175">
        <v>3</v>
      </c>
      <c r="FC5" s="175">
        <v>3</v>
      </c>
      <c r="FD5" s="175">
        <v>3</v>
      </c>
      <c r="FE5" s="175">
        <v>3</v>
      </c>
      <c r="FF5" s="175">
        <v>3</v>
      </c>
      <c r="FG5" s="175">
        <v>3</v>
      </c>
      <c r="FH5" s="176">
        <v>3</v>
      </c>
      <c r="FI5" s="176">
        <v>3</v>
      </c>
      <c r="FJ5" s="176">
        <v>3</v>
      </c>
      <c r="FK5" s="176">
        <v>3</v>
      </c>
      <c r="FL5" s="176"/>
      <c r="FM5" s="177"/>
      <c r="FN5" s="166"/>
      <c r="FO5" s="166"/>
      <c r="FP5" s="167">
        <v>3</v>
      </c>
      <c r="FQ5" s="49">
        <v>3</v>
      </c>
      <c r="FR5" s="49">
        <v>5</v>
      </c>
      <c r="FS5" s="104"/>
      <c r="FT5" s="104"/>
      <c r="FU5" s="166"/>
    </row>
    <row r="6" spans="1:177" s="178" customFormat="1" ht="21.95" customHeight="1" thickBot="1" x14ac:dyDescent="0.3">
      <c r="A6" s="178">
        <f>HLOOKUP($A$3,Scenario1,5,FALSE)</f>
        <v>2</v>
      </c>
      <c r="B6" s="106" t="s">
        <v>748</v>
      </c>
      <c r="C6" s="328">
        <f>HLOOKUP($A$3,TourDeJeu,33,FALSE)</f>
        <v>60</v>
      </c>
      <c r="D6" s="107">
        <v>60</v>
      </c>
      <c r="E6" s="108">
        <v>38</v>
      </c>
      <c r="F6" s="108">
        <v>6</v>
      </c>
      <c r="G6" s="225">
        <f>IF(E6="","",D6/E6)</f>
        <v>1.5789473684210527</v>
      </c>
      <c r="H6" s="110"/>
      <c r="I6" s="111">
        <f>IF(ISBLANK(D6),"",D6/E6+(F6/100))</f>
        <v>1.6389473684210527</v>
      </c>
      <c r="J6" s="112">
        <f>IF(ISBLANK(D6),"",IF(D6&gt;D7,2,IF(D6=D7,1,0)))</f>
        <v>2</v>
      </c>
      <c r="L6" s="178" t="str">
        <f>HLOOKUP($A$3,scenario2,5,FALSE)</f>
        <v>@</v>
      </c>
      <c r="M6" s="106" t="str">
        <f>VLOOKUP($L6,joueurs,2,FALSE)</f>
        <v xml:space="preserve"> </v>
      </c>
      <c r="N6" s="328" t="str">
        <f>HLOOKUP($A$3,TourDeJeu2,33,FALSE)</f>
        <v>-</v>
      </c>
      <c r="O6" s="108"/>
      <c r="P6" s="108"/>
      <c r="Q6" s="108"/>
      <c r="R6" s="109" t="str">
        <f>IF(P6="","",O6/P6)</f>
        <v/>
      </c>
      <c r="S6" s="110"/>
      <c r="T6" s="111" t="str">
        <f>IF(ISBLANK(O6),"",O6/P6+(Q6/100))</f>
        <v/>
      </c>
      <c r="U6" s="112" t="str">
        <f>IF(ISBLANK(O6),"",IF(O6&gt;O7,2,IF(O6=O7,1,0)))</f>
        <v/>
      </c>
      <c r="V6" s="113"/>
      <c r="X6" s="91" t="s">
        <v>77</v>
      </c>
      <c r="Y6" s="100" t="e">
        <f>VLOOKUP(Z$2,poule4,3,FALSE)</f>
        <v>#N/A</v>
      </c>
      <c r="Z6" s="101" t="s">
        <v>77</v>
      </c>
      <c r="AA6" s="101">
        <f t="shared" si="0"/>
        <v>0</v>
      </c>
      <c r="AB6" s="102"/>
      <c r="AC6" s="100" t="e">
        <f>VLOOKUP(AD$2,poule4,3,FALSE)</f>
        <v>#N/A</v>
      </c>
      <c r="AD6" s="101" t="s">
        <v>77</v>
      </c>
      <c r="AE6" s="101">
        <f t="shared" si="1"/>
        <v>0</v>
      </c>
      <c r="AF6" s="102"/>
      <c r="AG6" s="100" t="e">
        <f>VLOOKUP(AH$2,poule4,3,FALSE)</f>
        <v>#N/A</v>
      </c>
      <c r="AH6" s="101" t="s">
        <v>77</v>
      </c>
      <c r="AI6" s="101">
        <f t="shared" si="2"/>
        <v>0</v>
      </c>
      <c r="AJ6" s="102"/>
      <c r="AK6" s="100" t="e">
        <f>VLOOKUP(AL$2,poule4,3,FALSE)</f>
        <v>#N/A</v>
      </c>
      <c r="AL6" s="101" t="s">
        <v>77</v>
      </c>
      <c r="AM6" s="101">
        <f t="shared" si="3"/>
        <v>0</v>
      </c>
      <c r="AN6" s="102"/>
      <c r="AO6" s="100" t="e">
        <f>VLOOKUP(AP$2,poule4,3,FALSE)</f>
        <v>#N/A</v>
      </c>
      <c r="AP6" s="101" t="s">
        <v>77</v>
      </c>
      <c r="AQ6" s="101">
        <f t="shared" si="4"/>
        <v>0</v>
      </c>
      <c r="AR6" s="102"/>
      <c r="AS6" s="100" t="e">
        <f>VLOOKUP(AT$2,poule4,3,FALSE)</f>
        <v>#N/A</v>
      </c>
      <c r="AT6" s="101" t="s">
        <v>77</v>
      </c>
      <c r="AU6" s="101">
        <f t="shared" si="5"/>
        <v>0</v>
      </c>
      <c r="AV6" s="102"/>
      <c r="AW6" s="100" t="e">
        <f>VLOOKUP(AX$2,poule4,3,FALSE)</f>
        <v>#N/A</v>
      </c>
      <c r="AX6" s="101" t="s">
        <v>77</v>
      </c>
      <c r="AY6" s="101">
        <f t="shared" si="6"/>
        <v>0</v>
      </c>
      <c r="AZ6" s="102"/>
      <c r="BA6" s="100" t="e">
        <f>VLOOKUP(BB$2,poule4,3,FALSE)</f>
        <v>#N/A</v>
      </c>
      <c r="BB6" s="101" t="s">
        <v>77</v>
      </c>
      <c r="BC6" s="101">
        <f t="shared" si="7"/>
        <v>0</v>
      </c>
      <c r="BD6" s="102"/>
      <c r="BE6" s="100" t="e">
        <f>VLOOKUP(BF$2,poule4,3,FALSE)</f>
        <v>#N/A</v>
      </c>
      <c r="BF6" s="101" t="s">
        <v>77</v>
      </c>
      <c r="BG6" s="101">
        <f t="shared" si="8"/>
        <v>0</v>
      </c>
      <c r="BH6" s="102"/>
      <c r="BI6" s="100" t="e">
        <f>VLOOKUP(BJ$2,poule4,3,FALSE)</f>
        <v>#N/A</v>
      </c>
      <c r="BJ6" s="101" t="s">
        <v>77</v>
      </c>
      <c r="BK6" s="101">
        <f t="shared" si="9"/>
        <v>0</v>
      </c>
      <c r="BL6" s="102"/>
      <c r="BM6" s="100" t="e">
        <f>VLOOKUP(BN$2,poule4,3,FALSE)</f>
        <v>#N/A</v>
      </c>
      <c r="BN6" s="101" t="s">
        <v>77</v>
      </c>
      <c r="BO6" s="101">
        <f t="shared" si="10"/>
        <v>0</v>
      </c>
      <c r="BP6" s="102"/>
      <c r="BQ6" s="100" t="e">
        <f>VLOOKUP(BR$2,poule4,3,FALSE)</f>
        <v>#N/A</v>
      </c>
      <c r="BR6" s="101" t="s">
        <v>77</v>
      </c>
      <c r="BS6" s="101">
        <f t="shared" si="11"/>
        <v>0</v>
      </c>
      <c r="BT6" s="102"/>
      <c r="BU6" s="100" t="e">
        <f>VLOOKUP(BV$2,poule4,3,FALSE)</f>
        <v>#N/A</v>
      </c>
      <c r="BV6" s="101" t="s">
        <v>77</v>
      </c>
      <c r="BW6" s="101">
        <f t="shared" si="12"/>
        <v>0</v>
      </c>
      <c r="BX6" s="102"/>
      <c r="BY6" s="100" t="e">
        <f>VLOOKUP(BZ$2,poule4,3,FALSE)</f>
        <v>#N/A</v>
      </c>
      <c r="BZ6" s="101" t="s">
        <v>77</v>
      </c>
      <c r="CA6" s="101">
        <f t="shared" si="13"/>
        <v>0</v>
      </c>
      <c r="CB6" s="102"/>
      <c r="CC6" s="100" t="e">
        <f>VLOOKUP(CD$2,poule4,3,FALSE)</f>
        <v>#N/A</v>
      </c>
      <c r="CD6" s="101" t="s">
        <v>77</v>
      </c>
      <c r="CE6" s="101">
        <f t="shared" si="14"/>
        <v>0</v>
      </c>
      <c r="CF6" s="102"/>
      <c r="CG6" s="100" t="e">
        <f>VLOOKUP(CH$2,poule4,3,FALSE)</f>
        <v>#N/A</v>
      </c>
      <c r="CH6" s="101" t="s">
        <v>77</v>
      </c>
      <c r="CI6" s="101">
        <f t="shared" si="15"/>
        <v>0</v>
      </c>
      <c r="CJ6" s="102"/>
      <c r="CK6" s="100"/>
      <c r="CL6" s="101"/>
      <c r="CM6" s="101"/>
      <c r="CN6" s="102"/>
      <c r="CO6" s="166"/>
      <c r="CP6" s="166"/>
      <c r="CQ6" s="169" t="s">
        <v>78</v>
      </c>
      <c r="CR6" s="1" t="s">
        <v>79</v>
      </c>
      <c r="CS6" s="166"/>
      <c r="CT6" s="166"/>
      <c r="CU6" s="331" t="s">
        <v>80</v>
      </c>
      <c r="CV6" s="170">
        <v>1</v>
      </c>
      <c r="CW6" s="172">
        <v>1</v>
      </c>
      <c r="CX6" s="172">
        <v>2</v>
      </c>
      <c r="CY6" s="172">
        <v>2</v>
      </c>
      <c r="CZ6" s="172" t="s">
        <v>28</v>
      </c>
      <c r="DA6" s="172"/>
      <c r="DB6" s="172">
        <v>2</v>
      </c>
      <c r="DC6" s="172">
        <v>2</v>
      </c>
      <c r="DD6" s="172">
        <v>1</v>
      </c>
      <c r="DE6" s="172">
        <v>1</v>
      </c>
      <c r="DF6" s="172">
        <v>1</v>
      </c>
      <c r="DG6" s="172">
        <v>1</v>
      </c>
      <c r="DH6" s="172">
        <v>2</v>
      </c>
      <c r="DI6" s="172">
        <v>2</v>
      </c>
      <c r="DJ6" s="172">
        <v>1</v>
      </c>
      <c r="DK6" s="173">
        <v>4</v>
      </c>
      <c r="DL6" s="93"/>
      <c r="DM6" s="170" t="s">
        <v>28</v>
      </c>
      <c r="DN6" s="172" t="s">
        <v>28</v>
      </c>
      <c r="DO6" s="172" t="s">
        <v>28</v>
      </c>
      <c r="DP6" s="172" t="s">
        <v>28</v>
      </c>
      <c r="DQ6" s="172" t="s">
        <v>28</v>
      </c>
      <c r="DR6" s="172"/>
      <c r="DS6" s="172" t="s">
        <v>28</v>
      </c>
      <c r="DT6" s="172" t="s">
        <v>28</v>
      </c>
      <c r="DU6" s="172" t="s">
        <v>28</v>
      </c>
      <c r="DV6" s="172">
        <v>5</v>
      </c>
      <c r="DW6" s="172" t="s">
        <v>28</v>
      </c>
      <c r="DX6" s="172" t="s">
        <v>28</v>
      </c>
      <c r="DY6" s="172" t="s">
        <v>28</v>
      </c>
      <c r="DZ6" s="172">
        <v>1</v>
      </c>
      <c r="EA6" s="172" t="s">
        <v>28</v>
      </c>
      <c r="EB6" s="173" t="s">
        <v>28</v>
      </c>
      <c r="EC6" s="93"/>
      <c r="ED6" s="93"/>
      <c r="EE6" s="93"/>
      <c r="EF6" s="93"/>
      <c r="EG6" s="93"/>
      <c r="EH6" s="93"/>
      <c r="EI6" s="166"/>
      <c r="EJ6" s="93">
        <v>5</v>
      </c>
      <c r="EK6" s="93"/>
      <c r="EL6" s="93"/>
      <c r="EM6" s="93" t="s">
        <v>66</v>
      </c>
      <c r="EN6" s="93">
        <f>IF(I7=I6,20,IF(I7&lt;I6,A7,A6))</f>
        <v>3</v>
      </c>
      <c r="EO6" s="93" t="e">
        <f>IF(J35+J34=0,20,IF(J35=2,A34,A35))</f>
        <v>#VALUE!</v>
      </c>
      <c r="EP6" s="93"/>
      <c r="EQ6" s="93"/>
      <c r="ER6" s="93"/>
      <c r="ES6" s="93"/>
      <c r="ET6" s="93"/>
      <c r="EU6" s="93"/>
      <c r="EV6" s="179"/>
      <c r="EW6" s="180"/>
      <c r="EX6" s="180"/>
      <c r="EY6" s="175">
        <v>4</v>
      </c>
      <c r="EZ6" s="180"/>
      <c r="FA6" s="180"/>
      <c r="FB6" s="180"/>
      <c r="FC6" s="180"/>
      <c r="FD6" s="180">
        <v>4</v>
      </c>
      <c r="FE6" s="180">
        <v>4</v>
      </c>
      <c r="FF6" s="180">
        <v>4</v>
      </c>
      <c r="FG6" s="180">
        <v>4</v>
      </c>
      <c r="FH6" s="176">
        <v>4</v>
      </c>
      <c r="FI6" s="176">
        <v>4</v>
      </c>
      <c r="FJ6" s="176">
        <v>4</v>
      </c>
      <c r="FK6" s="176">
        <v>4</v>
      </c>
      <c r="FL6" s="181"/>
      <c r="FM6" s="182"/>
      <c r="FN6" s="166"/>
      <c r="FO6" s="166"/>
      <c r="FP6" s="167"/>
      <c r="FQ6" s="178">
        <v>4</v>
      </c>
      <c r="FR6" s="178">
        <v>2</v>
      </c>
      <c r="FS6" s="93"/>
      <c r="FT6" s="93"/>
      <c r="FU6" s="166"/>
    </row>
    <row r="7" spans="1:177" s="178" customFormat="1" ht="21.95" customHeight="1" x14ac:dyDescent="0.25">
      <c r="A7" s="178">
        <f>HLOOKUP($A$3,Scenario1,6,FALSE)</f>
        <v>3</v>
      </c>
      <c r="B7" s="106" t="str">
        <f>VLOOKUP($A7,joueurs,2,FALSE)</f>
        <v>LENGAIGNE DANIEL</v>
      </c>
      <c r="C7" s="329"/>
      <c r="D7" s="107">
        <v>39</v>
      </c>
      <c r="E7" s="114">
        <f>IF(E6="","",E6)</f>
        <v>38</v>
      </c>
      <c r="F7" s="108">
        <v>6</v>
      </c>
      <c r="G7" s="225">
        <f>IF(E7="","",D7/E7)</f>
        <v>1.0263157894736843</v>
      </c>
      <c r="H7" s="115" t="str">
        <f>IF(H6="","",H6)</f>
        <v/>
      </c>
      <c r="I7" s="111">
        <f>IF(ISBLANK(D7),"",D7/E7+(F7/100))</f>
        <v>1.0863157894736843</v>
      </c>
      <c r="J7" s="112">
        <f>IF(ISBLANK(D7),"",IF(D7&gt;D6,2,IF(D7=D6,1,0)))</f>
        <v>0</v>
      </c>
      <c r="L7" s="178" t="str">
        <f>HLOOKUP($A$3,scenario2,6,FALSE)</f>
        <v>@</v>
      </c>
      <c r="M7" s="106" t="str">
        <f>VLOOKUP($L7,joueurs,2,FALSE)</f>
        <v xml:space="preserve"> </v>
      </c>
      <c r="N7" s="329"/>
      <c r="O7" s="108"/>
      <c r="P7" s="114" t="str">
        <f>IF(P6="","",P6)</f>
        <v/>
      </c>
      <c r="Q7" s="108"/>
      <c r="R7" s="109" t="str">
        <f>IF(P7="","",O7/P7)</f>
        <v/>
      </c>
      <c r="S7" s="115">
        <f>S6</f>
        <v>0</v>
      </c>
      <c r="T7" s="111" t="str">
        <f>IF(ISBLANK(O7),"",O7/P7+(Q7/100))</f>
        <v/>
      </c>
      <c r="U7" s="112" t="str">
        <f>IF(ISBLANK(O7),"",IF(O7&gt;O6,2,IF(O7=O6,1,0)))</f>
        <v/>
      </c>
      <c r="V7" s="113"/>
      <c r="X7" s="91" t="s">
        <v>81</v>
      </c>
      <c r="Y7" s="100" t="e">
        <f>VLOOKUP(Z$2,poule5,3,FALSE)</f>
        <v>#N/A</v>
      </c>
      <c r="Z7" s="101" t="s">
        <v>81</v>
      </c>
      <c r="AA7" s="101">
        <f t="shared" si="0"/>
        <v>0</v>
      </c>
      <c r="AB7" s="101"/>
      <c r="AC7" s="100" t="e">
        <f>VLOOKUP(AD$2,poule5,3,FALSE)</f>
        <v>#N/A</v>
      </c>
      <c r="AD7" s="101" t="s">
        <v>81</v>
      </c>
      <c r="AE7" s="101">
        <f t="shared" si="1"/>
        <v>0</v>
      </c>
      <c r="AF7" s="101"/>
      <c r="AG7" s="100" t="e">
        <f>VLOOKUP(AH$2,poule5,3,FALSE)</f>
        <v>#N/A</v>
      </c>
      <c r="AH7" s="101" t="s">
        <v>81</v>
      </c>
      <c r="AI7" s="101">
        <f t="shared" si="2"/>
        <v>0</v>
      </c>
      <c r="AJ7" s="101"/>
      <c r="AK7" s="100" t="e">
        <f>VLOOKUP(AL$2,poule5,3,FALSE)</f>
        <v>#N/A</v>
      </c>
      <c r="AL7" s="101" t="s">
        <v>81</v>
      </c>
      <c r="AM7" s="101">
        <f t="shared" si="3"/>
        <v>0</v>
      </c>
      <c r="AN7" s="101"/>
      <c r="AO7" s="100" t="e">
        <f>VLOOKUP(AP$2,poule5,3,FALSE)</f>
        <v>#N/A</v>
      </c>
      <c r="AP7" s="101" t="s">
        <v>81</v>
      </c>
      <c r="AQ7" s="101">
        <f t="shared" si="4"/>
        <v>0</v>
      </c>
      <c r="AR7" s="101"/>
      <c r="AS7" s="100" t="e">
        <f>VLOOKUP(AT$2,poule5,3,FALSE)</f>
        <v>#N/A</v>
      </c>
      <c r="AT7" s="101" t="s">
        <v>81</v>
      </c>
      <c r="AU7" s="101">
        <f t="shared" si="5"/>
        <v>0</v>
      </c>
      <c r="AV7" s="101"/>
      <c r="AW7" s="100" t="e">
        <f>VLOOKUP(AX$2,poule5,3,FALSE)</f>
        <v>#N/A</v>
      </c>
      <c r="AX7" s="101" t="s">
        <v>81</v>
      </c>
      <c r="AY7" s="101">
        <f t="shared" si="6"/>
        <v>0</v>
      </c>
      <c r="AZ7" s="101"/>
      <c r="BA7" s="100" t="e">
        <f>VLOOKUP(BB$2,poule5,3,FALSE)</f>
        <v>#N/A</v>
      </c>
      <c r="BB7" s="101" t="s">
        <v>81</v>
      </c>
      <c r="BC7" s="101">
        <f t="shared" si="7"/>
        <v>0</v>
      </c>
      <c r="BD7" s="101"/>
      <c r="BE7" s="100" t="e">
        <f>VLOOKUP(BF$2,poule5,3,FALSE)</f>
        <v>#N/A</v>
      </c>
      <c r="BF7" s="101" t="s">
        <v>81</v>
      </c>
      <c r="BG7" s="101">
        <f t="shared" si="8"/>
        <v>0</v>
      </c>
      <c r="BH7" s="101"/>
      <c r="BI7" s="100" t="e">
        <f>VLOOKUP(BJ$2,poule5,3,FALSE)</f>
        <v>#N/A</v>
      </c>
      <c r="BJ7" s="101" t="s">
        <v>81</v>
      </c>
      <c r="BK7" s="101">
        <f t="shared" si="9"/>
        <v>0</v>
      </c>
      <c r="BL7" s="101"/>
      <c r="BM7" s="100" t="e">
        <f>VLOOKUP(BN$2,poule5,3,FALSE)</f>
        <v>#N/A</v>
      </c>
      <c r="BN7" s="101" t="s">
        <v>81</v>
      </c>
      <c r="BO7" s="101">
        <f t="shared" si="10"/>
        <v>0</v>
      </c>
      <c r="BP7" s="101"/>
      <c r="BQ7" s="100" t="e">
        <f>VLOOKUP(BR$2,poule5,3,FALSE)</f>
        <v>#N/A</v>
      </c>
      <c r="BR7" s="101" t="s">
        <v>81</v>
      </c>
      <c r="BS7" s="101">
        <f t="shared" si="11"/>
        <v>0</v>
      </c>
      <c r="BT7" s="101"/>
      <c r="BU7" s="100" t="e">
        <f>VLOOKUP(BV$2,poule5,3,FALSE)</f>
        <v>#N/A</v>
      </c>
      <c r="BV7" s="101" t="s">
        <v>81</v>
      </c>
      <c r="BW7" s="101">
        <f t="shared" si="12"/>
        <v>0</v>
      </c>
      <c r="BX7" s="101"/>
      <c r="BY7" s="100" t="e">
        <f>VLOOKUP(BZ$2,poule5,3,FALSE)</f>
        <v>#N/A</v>
      </c>
      <c r="BZ7" s="101" t="s">
        <v>81</v>
      </c>
      <c r="CA7" s="101">
        <f t="shared" si="13"/>
        <v>0</v>
      </c>
      <c r="CB7" s="101"/>
      <c r="CC7" s="100" t="e">
        <f>VLOOKUP(CD$2,poule5,3,FALSE)</f>
        <v>#N/A</v>
      </c>
      <c r="CD7" s="101" t="s">
        <v>81</v>
      </c>
      <c r="CE7" s="101">
        <f t="shared" si="14"/>
        <v>0</v>
      </c>
      <c r="CF7" s="101"/>
      <c r="CG7" s="100" t="e">
        <f>VLOOKUP(CH$2,poule5,3,FALSE)</f>
        <v>#N/A</v>
      </c>
      <c r="CH7" s="101" t="s">
        <v>81</v>
      </c>
      <c r="CI7" s="101">
        <f t="shared" si="15"/>
        <v>0</v>
      </c>
      <c r="CJ7" s="101"/>
      <c r="CK7" s="100"/>
      <c r="CL7" s="101"/>
      <c r="CM7" s="101"/>
      <c r="CN7" s="102"/>
      <c r="CO7" s="166"/>
      <c r="CP7" s="166"/>
      <c r="CQ7" s="169" t="s">
        <v>82</v>
      </c>
      <c r="CR7" s="1" t="s">
        <v>59</v>
      </c>
      <c r="CS7" s="166"/>
      <c r="CT7" s="166"/>
      <c r="CU7" s="331"/>
      <c r="CV7" s="174">
        <v>2</v>
      </c>
      <c r="CW7" s="176">
        <v>2</v>
      </c>
      <c r="CX7" s="176">
        <v>3</v>
      </c>
      <c r="CY7" s="176">
        <v>3</v>
      </c>
      <c r="CZ7" s="176" t="s">
        <v>28</v>
      </c>
      <c r="DA7" s="176"/>
      <c r="DB7" s="176">
        <v>3</v>
      </c>
      <c r="DC7" s="176">
        <v>3</v>
      </c>
      <c r="DD7" s="176">
        <v>4</v>
      </c>
      <c r="DE7" s="176">
        <v>4</v>
      </c>
      <c r="DF7" s="176">
        <v>4</v>
      </c>
      <c r="DG7" s="176">
        <v>4</v>
      </c>
      <c r="DH7" s="176">
        <v>5</v>
      </c>
      <c r="DI7" s="176">
        <v>5</v>
      </c>
      <c r="DJ7" s="176">
        <v>3</v>
      </c>
      <c r="DK7" s="177">
        <v>5</v>
      </c>
      <c r="DL7" s="93"/>
      <c r="DM7" s="174" t="s">
        <v>28</v>
      </c>
      <c r="DN7" s="176" t="s">
        <v>28</v>
      </c>
      <c r="DO7" s="176" t="s">
        <v>28</v>
      </c>
      <c r="DP7" s="176" t="s">
        <v>28</v>
      </c>
      <c r="DQ7" s="176" t="s">
        <v>28</v>
      </c>
      <c r="DR7" s="176"/>
      <c r="DS7" s="176" t="s">
        <v>28</v>
      </c>
      <c r="DT7" s="176" t="s">
        <v>28</v>
      </c>
      <c r="DU7" s="176" t="s">
        <v>28</v>
      </c>
      <c r="DV7" s="176">
        <v>6</v>
      </c>
      <c r="DW7" s="176" t="s">
        <v>28</v>
      </c>
      <c r="DX7" s="176" t="s">
        <v>28</v>
      </c>
      <c r="DY7" s="176" t="s">
        <v>28</v>
      </c>
      <c r="DZ7" s="176">
        <v>2</v>
      </c>
      <c r="EA7" s="176" t="s">
        <v>28</v>
      </c>
      <c r="EB7" s="177" t="s">
        <v>28</v>
      </c>
      <c r="EC7" s="93"/>
      <c r="ED7" s="93"/>
      <c r="EE7" s="93"/>
      <c r="EF7" s="93"/>
      <c r="EG7" s="93"/>
      <c r="EH7" s="93"/>
      <c r="EI7" s="166"/>
      <c r="EJ7" s="93">
        <v>6</v>
      </c>
      <c r="EK7" s="93"/>
      <c r="EL7" s="93"/>
      <c r="EM7" s="93"/>
      <c r="EN7" s="93"/>
      <c r="EO7" s="93"/>
      <c r="EP7" s="93"/>
      <c r="EQ7" s="93"/>
      <c r="ER7" s="93"/>
      <c r="ES7" s="93"/>
      <c r="ET7" s="93"/>
      <c r="EU7" s="93"/>
      <c r="EV7" s="170"/>
      <c r="EW7" s="171"/>
      <c r="EX7" s="171"/>
      <c r="EY7" s="175">
        <v>5</v>
      </c>
      <c r="EZ7" s="171"/>
      <c r="FA7" s="171"/>
      <c r="FB7" s="171"/>
      <c r="FC7" s="171"/>
      <c r="FD7" s="171"/>
      <c r="FE7" s="171">
        <v>5</v>
      </c>
      <c r="FF7" s="171"/>
      <c r="FG7" s="171"/>
      <c r="FH7" s="176">
        <v>5</v>
      </c>
      <c r="FI7" s="176">
        <v>5</v>
      </c>
      <c r="FJ7" s="176">
        <v>5</v>
      </c>
      <c r="FK7" s="176">
        <v>5</v>
      </c>
      <c r="FL7" s="172"/>
      <c r="FM7" s="173"/>
      <c r="FN7" s="166"/>
      <c r="FO7" s="166"/>
      <c r="FP7" s="167"/>
      <c r="FQ7" s="178">
        <v>5</v>
      </c>
      <c r="FR7" s="178">
        <v>3</v>
      </c>
      <c r="FS7" s="93"/>
      <c r="FT7" s="93"/>
      <c r="FU7" s="166"/>
    </row>
    <row r="8" spans="1:177" s="178" customFormat="1" ht="21.95" customHeight="1" x14ac:dyDescent="0.25">
      <c r="A8" s="49"/>
      <c r="B8" s="42" t="s">
        <v>68</v>
      </c>
      <c r="C8" s="42" t="s">
        <v>15</v>
      </c>
      <c r="D8" s="189" t="s">
        <v>57</v>
      </c>
      <c r="E8" s="42" t="s">
        <v>69</v>
      </c>
      <c r="F8" s="42" t="s">
        <v>70</v>
      </c>
      <c r="G8" s="81" t="s">
        <v>71</v>
      </c>
      <c r="H8" s="42" t="s">
        <v>72</v>
      </c>
      <c r="I8" s="42"/>
      <c r="J8" s="42" t="s">
        <v>73</v>
      </c>
      <c r="L8" s="49"/>
      <c r="M8" s="42" t="s">
        <v>68</v>
      </c>
      <c r="N8" s="42" t="s">
        <v>15</v>
      </c>
      <c r="O8" s="189" t="s">
        <v>57</v>
      </c>
      <c r="P8" s="42" t="s">
        <v>69</v>
      </c>
      <c r="Q8" s="42" t="s">
        <v>70</v>
      </c>
      <c r="R8" s="42" t="s">
        <v>71</v>
      </c>
      <c r="S8" s="42" t="s">
        <v>72</v>
      </c>
      <c r="T8" s="42"/>
      <c r="U8" s="42" t="s">
        <v>73</v>
      </c>
      <c r="V8" s="113"/>
      <c r="X8" s="91" t="s">
        <v>83</v>
      </c>
      <c r="Y8" s="100" t="e">
        <f>VLOOKUP(Z$2,Poule6,3,FALSE)</f>
        <v>#N/A</v>
      </c>
      <c r="Z8" s="101" t="s">
        <v>83</v>
      </c>
      <c r="AA8" s="101">
        <f t="shared" si="0"/>
        <v>0</v>
      </c>
      <c r="AB8" s="101"/>
      <c r="AC8" s="100" t="e">
        <f>VLOOKUP(AD$2,Poule6,3,FALSE)</f>
        <v>#N/A</v>
      </c>
      <c r="AD8" s="101" t="s">
        <v>83</v>
      </c>
      <c r="AE8" s="101">
        <f t="shared" si="1"/>
        <v>0</v>
      </c>
      <c r="AF8" s="101"/>
      <c r="AG8" s="100" t="e">
        <f>VLOOKUP(AH$2,Poule6,3,FALSE)</f>
        <v>#N/A</v>
      </c>
      <c r="AH8" s="101" t="s">
        <v>83</v>
      </c>
      <c r="AI8" s="101">
        <f t="shared" si="2"/>
        <v>0</v>
      </c>
      <c r="AJ8" s="101"/>
      <c r="AK8" s="100" t="e">
        <f>VLOOKUP(AL$2,Poule6,3,FALSE)</f>
        <v>#N/A</v>
      </c>
      <c r="AL8" s="101" t="s">
        <v>83</v>
      </c>
      <c r="AM8" s="101">
        <f t="shared" si="3"/>
        <v>0</v>
      </c>
      <c r="AN8" s="101"/>
      <c r="AO8" s="100" t="e">
        <f>VLOOKUP(AP$2,Poule6,3,FALSE)</f>
        <v>#N/A</v>
      </c>
      <c r="AP8" s="101" t="s">
        <v>83</v>
      </c>
      <c r="AQ8" s="101">
        <f t="shared" si="4"/>
        <v>0</v>
      </c>
      <c r="AR8" s="101"/>
      <c r="AS8" s="100" t="e">
        <f>VLOOKUP(AT$2,Poule6,3,FALSE)</f>
        <v>#N/A</v>
      </c>
      <c r="AT8" s="101" t="s">
        <v>83</v>
      </c>
      <c r="AU8" s="101">
        <f t="shared" si="5"/>
        <v>0</v>
      </c>
      <c r="AV8" s="101"/>
      <c r="AW8" s="100" t="e">
        <f>VLOOKUP(AX$2,Poule6,3,FALSE)</f>
        <v>#N/A</v>
      </c>
      <c r="AX8" s="101" t="s">
        <v>83</v>
      </c>
      <c r="AY8" s="101">
        <f t="shared" si="6"/>
        <v>0</v>
      </c>
      <c r="AZ8" s="101"/>
      <c r="BA8" s="100" t="e">
        <f>VLOOKUP(BB$2,Poule6,3,FALSE)</f>
        <v>#N/A</v>
      </c>
      <c r="BB8" s="101" t="s">
        <v>83</v>
      </c>
      <c r="BC8" s="101">
        <f t="shared" si="7"/>
        <v>0</v>
      </c>
      <c r="BD8" s="101"/>
      <c r="BE8" s="100" t="e">
        <f>VLOOKUP(BF$2,Poule6,3,FALSE)</f>
        <v>#N/A</v>
      </c>
      <c r="BF8" s="101" t="s">
        <v>83</v>
      </c>
      <c r="BG8" s="101">
        <f t="shared" si="8"/>
        <v>0</v>
      </c>
      <c r="BH8" s="101"/>
      <c r="BI8" s="100" t="e">
        <f>VLOOKUP(BJ$2,Poule6,3,FALSE)</f>
        <v>#N/A</v>
      </c>
      <c r="BJ8" s="101" t="s">
        <v>83</v>
      </c>
      <c r="BK8" s="101">
        <f t="shared" si="9"/>
        <v>0</v>
      </c>
      <c r="BL8" s="101"/>
      <c r="BM8" s="100" t="e">
        <f>VLOOKUP(BN$2,Poule6,3,FALSE)</f>
        <v>#N/A</v>
      </c>
      <c r="BN8" s="101" t="s">
        <v>83</v>
      </c>
      <c r="BO8" s="101">
        <f t="shared" si="10"/>
        <v>0</v>
      </c>
      <c r="BP8" s="101"/>
      <c r="BQ8" s="100" t="e">
        <f>VLOOKUP(BR$2,Poule6,3,FALSE)</f>
        <v>#N/A</v>
      </c>
      <c r="BR8" s="101" t="s">
        <v>83</v>
      </c>
      <c r="BS8" s="101">
        <f t="shared" si="11"/>
        <v>0</v>
      </c>
      <c r="BT8" s="101"/>
      <c r="BU8" s="100" t="e">
        <f>VLOOKUP(BV$2,Poule6,3,FALSE)</f>
        <v>#N/A</v>
      </c>
      <c r="BV8" s="101" t="s">
        <v>83</v>
      </c>
      <c r="BW8" s="101">
        <f t="shared" si="12"/>
        <v>0</v>
      </c>
      <c r="BX8" s="101"/>
      <c r="BY8" s="100" t="e">
        <f>VLOOKUP(BZ$2,Poule6,3,FALSE)</f>
        <v>#N/A</v>
      </c>
      <c r="BZ8" s="101" t="s">
        <v>83</v>
      </c>
      <c r="CA8" s="101">
        <f t="shared" si="13"/>
        <v>0</v>
      </c>
      <c r="CB8" s="101"/>
      <c r="CC8" s="100" t="e">
        <f>VLOOKUP(CD$2,Poule6,3,FALSE)</f>
        <v>#N/A</v>
      </c>
      <c r="CD8" s="101" t="s">
        <v>83</v>
      </c>
      <c r="CE8" s="101">
        <f t="shared" si="14"/>
        <v>0</v>
      </c>
      <c r="CF8" s="101"/>
      <c r="CG8" s="100" t="e">
        <f>VLOOKUP(CH$2,Poule6,3,FALSE)</f>
        <v>#N/A</v>
      </c>
      <c r="CH8" s="101" t="s">
        <v>83</v>
      </c>
      <c r="CI8" s="101">
        <f t="shared" si="15"/>
        <v>0</v>
      </c>
      <c r="CJ8" s="101"/>
      <c r="CK8" s="100"/>
      <c r="CL8" s="101"/>
      <c r="CM8" s="101"/>
      <c r="CN8" s="102"/>
      <c r="CO8" s="166"/>
      <c r="CP8" s="166"/>
      <c r="CQ8" s="169" t="s">
        <v>84</v>
      </c>
      <c r="CR8" s="1" t="s">
        <v>60</v>
      </c>
      <c r="CS8" s="166"/>
      <c r="CT8" s="166"/>
      <c r="CU8" s="331"/>
      <c r="CV8" s="183"/>
      <c r="CW8" s="184"/>
      <c r="CX8" s="184"/>
      <c r="CY8" s="184"/>
      <c r="CZ8" s="184"/>
      <c r="DA8" s="184"/>
      <c r="DB8" s="184"/>
      <c r="DC8" s="184"/>
      <c r="DD8" s="184"/>
      <c r="DE8" s="184"/>
      <c r="DF8" s="184"/>
      <c r="DG8" s="184"/>
      <c r="DH8" s="184"/>
      <c r="DI8" s="184"/>
      <c r="DJ8" s="184"/>
      <c r="DK8" s="185"/>
      <c r="DL8" s="166"/>
      <c r="DM8" s="183"/>
      <c r="DN8" s="184"/>
      <c r="DO8" s="184"/>
      <c r="DP8" s="184"/>
      <c r="DQ8" s="184"/>
      <c r="DR8" s="184"/>
      <c r="DS8" s="184"/>
      <c r="DT8" s="184"/>
      <c r="DU8" s="184"/>
      <c r="DV8" s="184"/>
      <c r="DW8" s="184"/>
      <c r="DX8" s="184"/>
      <c r="DY8" s="184"/>
      <c r="DZ8" s="184"/>
      <c r="EA8" s="184"/>
      <c r="EB8" s="185"/>
      <c r="EC8" s="166"/>
      <c r="ED8" s="166"/>
      <c r="EE8" s="166"/>
      <c r="EF8" s="166"/>
      <c r="EG8" s="166"/>
      <c r="EH8" s="166"/>
      <c r="EI8" s="166"/>
      <c r="EJ8" s="93">
        <v>7</v>
      </c>
      <c r="EK8" s="93"/>
      <c r="EL8" s="93"/>
      <c r="EM8" s="93" t="s">
        <v>85</v>
      </c>
      <c r="EN8" s="93">
        <f>IF(I9=I10,21,IF(I9&gt;I10,A9,A10))</f>
        <v>5</v>
      </c>
      <c r="EO8" s="93" t="e">
        <f>IF(J34+J35=0,21,IF(J34=2,A34,A35))</f>
        <v>#VALUE!</v>
      </c>
      <c r="EP8" s="93"/>
      <c r="EQ8" s="93"/>
      <c r="ER8" s="93"/>
      <c r="ES8" s="93"/>
      <c r="ET8" s="93"/>
      <c r="EU8" s="93"/>
      <c r="EV8" s="174"/>
      <c r="EW8" s="175"/>
      <c r="EX8" s="175"/>
      <c r="EY8" s="175">
        <v>6</v>
      </c>
      <c r="EZ8" s="175"/>
      <c r="FA8" s="175"/>
      <c r="FB8" s="175"/>
      <c r="FC8" s="175"/>
      <c r="FD8" s="175"/>
      <c r="FE8" s="175">
        <v>6</v>
      </c>
      <c r="FF8" s="175"/>
      <c r="FG8" s="175"/>
      <c r="FH8" s="176"/>
      <c r="FI8" s="176"/>
      <c r="FJ8" s="176">
        <v>6</v>
      </c>
      <c r="FK8" s="176">
        <v>6</v>
      </c>
      <c r="FL8" s="176"/>
      <c r="FM8" s="177"/>
      <c r="FN8" s="166"/>
      <c r="FO8" s="166"/>
      <c r="FP8" s="167"/>
      <c r="FQ8" s="178">
        <v>6</v>
      </c>
      <c r="FR8" s="178">
        <v>6</v>
      </c>
      <c r="FS8" s="93"/>
      <c r="FT8" s="93"/>
      <c r="FU8" s="166"/>
    </row>
    <row r="9" spans="1:177" s="178" customFormat="1" ht="21.95" customHeight="1" x14ac:dyDescent="0.25">
      <c r="A9" s="178">
        <f>HLOOKUP($A$3,Scenario1,8,FALSE)</f>
        <v>5</v>
      </c>
      <c r="B9" s="106" t="str">
        <f>VLOOKUP($A9,joueurs,2,FALSE)</f>
        <v>CARDON CHRISTIAN</v>
      </c>
      <c r="C9" s="328">
        <f>HLOOKUP($A$3,TourDeJeu,34,FALSE)</f>
        <v>60</v>
      </c>
      <c r="D9" s="107">
        <v>60</v>
      </c>
      <c r="E9" s="108">
        <v>37</v>
      </c>
      <c r="F9" s="108">
        <v>8</v>
      </c>
      <c r="G9" s="225">
        <f>IF(E9="","",D9/E9)</f>
        <v>1.6216216216216217</v>
      </c>
      <c r="H9" s="110"/>
      <c r="I9" s="111">
        <f>IF(ISBLANK(D9),"",D9/E9+(F9/100))</f>
        <v>1.7016216216216218</v>
      </c>
      <c r="J9" s="112">
        <f>IF(ISBLANK(D9),"",IF(D9&gt;D10,2,IF(D9=D10,1,0)))</f>
        <v>2</v>
      </c>
      <c r="L9" s="178" t="str">
        <f>HLOOKUP($A$3,scenario2,8,FALSE)</f>
        <v>@</v>
      </c>
      <c r="M9" s="106" t="str">
        <f>VLOOKUP($L9,joueurs,2,FALSE)</f>
        <v xml:space="preserve"> </v>
      </c>
      <c r="N9" s="328" t="str">
        <f>HLOOKUP($A$3,TourDeJeu2,34,FALSE)</f>
        <v>-</v>
      </c>
      <c r="O9" s="108"/>
      <c r="P9" s="108"/>
      <c r="Q9" s="108"/>
      <c r="R9" s="109" t="str">
        <f>IF(P9="","",O9/P9)</f>
        <v/>
      </c>
      <c r="S9" s="110"/>
      <c r="T9" s="111" t="str">
        <f>IF(ISBLANK(O9),"",O9/P9+(Q9/100))</f>
        <v/>
      </c>
      <c r="U9" s="112" t="str">
        <f>IF(ISBLANK(O9),"",IF(O9&gt;O10,2,IF(O9=O10,1,0)))</f>
        <v/>
      </c>
      <c r="V9" s="113"/>
      <c r="X9" s="91" t="s">
        <v>86</v>
      </c>
      <c r="Y9" s="100"/>
      <c r="Z9" s="101"/>
      <c r="AA9" s="116">
        <f>SUM(AA3:AA8)</f>
        <v>120</v>
      </c>
      <c r="AB9" s="101"/>
      <c r="AC9" s="100"/>
      <c r="AD9" s="101"/>
      <c r="AE9" s="116">
        <f>SUM(AE3:AE8)</f>
        <v>100</v>
      </c>
      <c r="AF9" s="101"/>
      <c r="AG9" s="100"/>
      <c r="AH9" s="101"/>
      <c r="AI9" s="116">
        <f>SUM(AI3:AI8)</f>
        <v>81</v>
      </c>
      <c r="AJ9" s="101"/>
      <c r="AK9" s="100"/>
      <c r="AL9" s="101"/>
      <c r="AM9" s="116">
        <f>SUM(AM3:AM8)</f>
        <v>118</v>
      </c>
      <c r="AN9" s="101"/>
      <c r="AO9" s="100"/>
      <c r="AP9" s="101"/>
      <c r="AQ9" s="116">
        <f>SUM(AQ3:AQ8)</f>
        <v>116</v>
      </c>
      <c r="AR9" s="101"/>
      <c r="AS9" s="100"/>
      <c r="AT9" s="101"/>
      <c r="AU9" s="116">
        <f>SUM(AU3:AU8)</f>
        <v>91</v>
      </c>
      <c r="AV9" s="101"/>
      <c r="AW9" s="100"/>
      <c r="AX9" s="101"/>
      <c r="AY9" s="116">
        <f>SUM(AY3:AY8)</f>
        <v>0</v>
      </c>
      <c r="AZ9" s="101"/>
      <c r="BA9" s="100"/>
      <c r="BB9" s="101"/>
      <c r="BC9" s="116">
        <f>SUM(BC3:BC8)</f>
        <v>0</v>
      </c>
      <c r="BD9" s="101"/>
      <c r="BE9" s="100"/>
      <c r="BF9" s="101"/>
      <c r="BG9" s="116">
        <f>SUM(BG3:BG8)</f>
        <v>0</v>
      </c>
      <c r="BH9" s="101"/>
      <c r="BI9" s="100"/>
      <c r="BJ9" s="101"/>
      <c r="BK9" s="116">
        <f>SUM(BK3:BK8)</f>
        <v>0</v>
      </c>
      <c r="BL9" s="101"/>
      <c r="BM9" s="100"/>
      <c r="BN9" s="101"/>
      <c r="BO9" s="116">
        <f>SUM(BO3:BO8)</f>
        <v>0</v>
      </c>
      <c r="BP9" s="101"/>
      <c r="BQ9" s="100"/>
      <c r="BR9" s="101"/>
      <c r="BS9" s="116">
        <f>SUM(BS3:BS8)</f>
        <v>0</v>
      </c>
      <c r="BT9" s="101"/>
      <c r="BU9" s="100"/>
      <c r="BV9" s="101"/>
      <c r="BW9" s="116">
        <f>SUM(BW3:BW8)</f>
        <v>0</v>
      </c>
      <c r="BX9" s="101"/>
      <c r="BY9" s="100"/>
      <c r="BZ9" s="101"/>
      <c r="CA9" s="116">
        <f>SUM(CA3:CA8)</f>
        <v>0</v>
      </c>
      <c r="CB9" s="101"/>
      <c r="CC9" s="100"/>
      <c r="CD9" s="101"/>
      <c r="CE9" s="116">
        <f>SUM(CE3:CE8)</f>
        <v>0</v>
      </c>
      <c r="CF9" s="101"/>
      <c r="CG9" s="100"/>
      <c r="CH9" s="101"/>
      <c r="CI9" s="116">
        <f>SUM(CI3:CI8)</f>
        <v>0</v>
      </c>
      <c r="CJ9" s="101"/>
      <c r="CK9" s="100"/>
      <c r="CL9" s="101"/>
      <c r="CM9" s="101"/>
      <c r="CN9" s="102"/>
      <c r="CO9" s="166"/>
      <c r="CP9" s="166"/>
      <c r="CQ9" s="169" t="s">
        <v>87</v>
      </c>
      <c r="CR9" s="1" t="s">
        <v>58</v>
      </c>
      <c r="CS9" s="166"/>
      <c r="CT9" s="166"/>
      <c r="CU9" s="331"/>
      <c r="CV9" s="174" t="s">
        <v>28</v>
      </c>
      <c r="CW9" s="176" t="s">
        <v>28</v>
      </c>
      <c r="CX9" s="176" t="s">
        <v>28</v>
      </c>
      <c r="CY9" s="176">
        <v>5</v>
      </c>
      <c r="CZ9" s="176" t="s">
        <v>28</v>
      </c>
      <c r="DA9" s="176"/>
      <c r="DB9" s="176" t="s">
        <v>28</v>
      </c>
      <c r="DC9" s="176" t="s">
        <v>28</v>
      </c>
      <c r="DD9" s="176">
        <v>3</v>
      </c>
      <c r="DE9" s="176">
        <v>3</v>
      </c>
      <c r="DF9" s="176">
        <v>3</v>
      </c>
      <c r="DG9" s="176">
        <v>3</v>
      </c>
      <c r="DH9" s="176">
        <v>3</v>
      </c>
      <c r="DI9" s="176">
        <v>3</v>
      </c>
      <c r="DJ9" s="176">
        <v>4</v>
      </c>
      <c r="DK9" s="177">
        <v>3</v>
      </c>
      <c r="DL9" s="93"/>
      <c r="DM9" s="174" t="s">
        <v>28</v>
      </c>
      <c r="DN9" s="176" t="s">
        <v>28</v>
      </c>
      <c r="DO9" s="176" t="s">
        <v>28</v>
      </c>
      <c r="DP9" s="176" t="s">
        <v>28</v>
      </c>
      <c r="DQ9" s="176" t="s">
        <v>28</v>
      </c>
      <c r="DR9" s="176"/>
      <c r="DS9" s="176" t="s">
        <v>28</v>
      </c>
      <c r="DT9" s="176" t="s">
        <v>28</v>
      </c>
      <c r="DU9" s="176" t="s">
        <v>28</v>
      </c>
      <c r="DV9" s="176">
        <v>7</v>
      </c>
      <c r="DW9" s="176" t="s">
        <v>28</v>
      </c>
      <c r="DX9" s="176" t="s">
        <v>28</v>
      </c>
      <c r="DY9" s="176" t="s">
        <v>28</v>
      </c>
      <c r="DZ9" s="176">
        <v>4</v>
      </c>
      <c r="EA9" s="176" t="s">
        <v>28</v>
      </c>
      <c r="EB9" s="177" t="s">
        <v>28</v>
      </c>
      <c r="EC9" s="93"/>
      <c r="ED9" s="93"/>
      <c r="EE9" s="93"/>
      <c r="EF9" s="93"/>
      <c r="EG9" s="93"/>
      <c r="EH9" s="93"/>
      <c r="EI9" s="166"/>
      <c r="EJ9" s="93">
        <v>8</v>
      </c>
      <c r="EK9" s="93"/>
      <c r="EL9" s="93"/>
      <c r="EM9" s="93" t="s">
        <v>67</v>
      </c>
      <c r="EN9" s="93">
        <f>IF(I10=I9,20,IF(I10&lt;I9,A10,A9))</f>
        <v>6</v>
      </c>
      <c r="EO9" s="93">
        <f>IF(J38+J37=0,20,IF(J38=2,A37,A38))</f>
        <v>20</v>
      </c>
      <c r="EP9" s="93"/>
      <c r="EQ9" s="93"/>
      <c r="ER9" s="93"/>
      <c r="ES9" s="93"/>
      <c r="ET9" s="93"/>
      <c r="EU9" s="93"/>
      <c r="EV9" s="174"/>
      <c r="EW9" s="175"/>
      <c r="EX9" s="175"/>
      <c r="EY9" s="175"/>
      <c r="EZ9" s="175"/>
      <c r="FA9" s="175"/>
      <c r="FB9" s="175"/>
      <c r="FC9" s="175"/>
      <c r="FD9" s="175"/>
      <c r="FE9" s="175">
        <v>7</v>
      </c>
      <c r="FF9" s="175"/>
      <c r="FG9" s="175"/>
      <c r="FH9" s="176"/>
      <c r="FI9" s="176"/>
      <c r="FJ9" s="176"/>
      <c r="FK9" s="176"/>
      <c r="FL9" s="176"/>
      <c r="FM9" s="177"/>
      <c r="FN9" s="166"/>
      <c r="FO9" s="166"/>
      <c r="FP9" s="167"/>
      <c r="FS9" s="93"/>
      <c r="FT9" s="93"/>
      <c r="FU9" s="166"/>
    </row>
    <row r="10" spans="1:177" s="178" customFormat="1" ht="21.95" customHeight="1" thickBot="1" x14ac:dyDescent="0.3">
      <c r="A10" s="178">
        <f>HLOOKUP($A$3,Scenario1,9,FALSE)</f>
        <v>6</v>
      </c>
      <c r="B10" s="106" t="str">
        <f>VLOOKUP($A10,joueurs,2,FALSE)</f>
        <v>GERONIMI THIERRY</v>
      </c>
      <c r="C10" s="329"/>
      <c r="D10" s="107">
        <v>49</v>
      </c>
      <c r="E10" s="114">
        <f>IF(E9="","",E9)</f>
        <v>37</v>
      </c>
      <c r="F10" s="108">
        <v>9</v>
      </c>
      <c r="G10" s="225">
        <f>IF(E10="","",D10/E10)</f>
        <v>1.3243243243243243</v>
      </c>
      <c r="H10" s="115">
        <f>H9</f>
        <v>0</v>
      </c>
      <c r="I10" s="111">
        <f>IF(ISBLANK(D10),"",D10/E10+(F10/100))</f>
        <v>1.4143243243243244</v>
      </c>
      <c r="J10" s="112">
        <f>IF(ISBLANK(D10),"",IF(D10&gt;D9,2,IF(D10=D9,1,0)))</f>
        <v>0</v>
      </c>
      <c r="L10" s="178" t="str">
        <f>HLOOKUP($A$3,scenario2,9,FALSE)</f>
        <v>@</v>
      </c>
      <c r="M10" s="106" t="str">
        <f>VLOOKUP($L10,joueurs,2,FALSE)</f>
        <v xml:space="preserve"> </v>
      </c>
      <c r="N10" s="329"/>
      <c r="O10" s="108"/>
      <c r="P10" s="114" t="str">
        <f>IF(P9="","",P9)</f>
        <v/>
      </c>
      <c r="Q10" s="108"/>
      <c r="R10" s="109" t="str">
        <f>IF(P10="","",O10/P10)</f>
        <v/>
      </c>
      <c r="S10" s="115">
        <f>S9</f>
        <v>0</v>
      </c>
      <c r="T10" s="111" t="str">
        <f>IF(ISBLANK(O10),"",O10/P10+(Q10/100))</f>
        <v/>
      </c>
      <c r="U10" s="112" t="str">
        <f>IF(ISBLANK(O10),"",IF(O10&gt;O9,2,IF(O10=O9,1,0)))</f>
        <v/>
      </c>
      <c r="V10" s="113"/>
      <c r="X10" s="91"/>
      <c r="Y10" s="105"/>
      <c r="Z10" s="101"/>
      <c r="AA10" s="101"/>
      <c r="AB10" s="101"/>
      <c r="AC10" s="105"/>
      <c r="AD10" s="101"/>
      <c r="AE10" s="101"/>
      <c r="AF10" s="101"/>
      <c r="AG10" s="105"/>
      <c r="AH10" s="101"/>
      <c r="AI10" s="101"/>
      <c r="AJ10" s="101"/>
      <c r="AK10" s="105"/>
      <c r="AL10" s="101"/>
      <c r="AM10" s="101"/>
      <c r="AN10" s="101"/>
      <c r="AO10" s="105"/>
      <c r="AP10" s="101"/>
      <c r="AQ10" s="101"/>
      <c r="AR10" s="101"/>
      <c r="AS10" s="105"/>
      <c r="AT10" s="101"/>
      <c r="AU10" s="101"/>
      <c r="AV10" s="101"/>
      <c r="AW10" s="105"/>
      <c r="AX10" s="101"/>
      <c r="AY10" s="101"/>
      <c r="AZ10" s="101"/>
      <c r="BA10" s="105"/>
      <c r="BB10" s="101"/>
      <c r="BC10" s="101"/>
      <c r="BD10" s="101"/>
      <c r="BE10" s="105"/>
      <c r="BF10" s="101"/>
      <c r="BG10" s="101"/>
      <c r="BH10" s="101"/>
      <c r="BI10" s="105"/>
      <c r="BJ10" s="101"/>
      <c r="BK10" s="101"/>
      <c r="BL10" s="101"/>
      <c r="BM10" s="105"/>
      <c r="BN10" s="101"/>
      <c r="BO10" s="101"/>
      <c r="BP10" s="101"/>
      <c r="BQ10" s="105"/>
      <c r="BR10" s="101"/>
      <c r="BS10" s="101"/>
      <c r="BT10" s="101"/>
      <c r="BU10" s="105"/>
      <c r="BV10" s="101"/>
      <c r="BW10" s="101"/>
      <c r="BX10" s="101"/>
      <c r="BY10" s="105"/>
      <c r="BZ10" s="101"/>
      <c r="CA10" s="101"/>
      <c r="CB10" s="101"/>
      <c r="CC10" s="105"/>
      <c r="CD10" s="101"/>
      <c r="CE10" s="101"/>
      <c r="CF10" s="101"/>
      <c r="CG10" s="105"/>
      <c r="CH10" s="101"/>
      <c r="CI10" s="101"/>
      <c r="CJ10" s="101"/>
      <c r="CK10" s="100"/>
      <c r="CL10" s="101"/>
      <c r="CM10" s="101"/>
      <c r="CN10" s="102"/>
      <c r="CO10" s="166"/>
      <c r="CP10" s="166"/>
      <c r="CQ10" s="169" t="s">
        <v>88</v>
      </c>
      <c r="CR10" s="1" t="s">
        <v>18</v>
      </c>
      <c r="CS10" s="166"/>
      <c r="CT10" s="166"/>
      <c r="CU10" s="331"/>
      <c r="CV10" s="179" t="s">
        <v>28</v>
      </c>
      <c r="CW10" s="181" t="s">
        <v>28</v>
      </c>
      <c r="CX10" s="181" t="s">
        <v>28</v>
      </c>
      <c r="CY10" s="181">
        <v>6</v>
      </c>
      <c r="CZ10" s="181" t="s">
        <v>28</v>
      </c>
      <c r="DA10" s="181"/>
      <c r="DB10" s="181" t="s">
        <v>28</v>
      </c>
      <c r="DC10" s="181" t="s">
        <v>28</v>
      </c>
      <c r="DD10" s="181">
        <v>2</v>
      </c>
      <c r="DE10" s="181">
        <v>2</v>
      </c>
      <c r="DF10" s="181">
        <v>2</v>
      </c>
      <c r="DG10" s="181">
        <v>2</v>
      </c>
      <c r="DH10" s="181">
        <v>4</v>
      </c>
      <c r="DI10" s="181">
        <v>4</v>
      </c>
      <c r="DJ10" s="181">
        <v>5</v>
      </c>
      <c r="DK10" s="182">
        <v>6</v>
      </c>
      <c r="DL10" s="93"/>
      <c r="DM10" s="179" t="s">
        <v>28</v>
      </c>
      <c r="DN10" s="181" t="s">
        <v>28</v>
      </c>
      <c r="DO10" s="181" t="s">
        <v>28</v>
      </c>
      <c r="DP10" s="181" t="s">
        <v>28</v>
      </c>
      <c r="DQ10" s="181" t="s">
        <v>28</v>
      </c>
      <c r="DR10" s="181"/>
      <c r="DS10" s="181" t="s">
        <v>28</v>
      </c>
      <c r="DT10" s="181" t="s">
        <v>28</v>
      </c>
      <c r="DU10" s="181" t="s">
        <v>28</v>
      </c>
      <c r="DV10" s="181">
        <v>8</v>
      </c>
      <c r="DW10" s="181" t="s">
        <v>28</v>
      </c>
      <c r="DX10" s="181" t="s">
        <v>28</v>
      </c>
      <c r="DY10" s="181" t="s">
        <v>28</v>
      </c>
      <c r="DZ10" s="181">
        <v>5</v>
      </c>
      <c r="EA10" s="181" t="s">
        <v>28</v>
      </c>
      <c r="EB10" s="182" t="s">
        <v>28</v>
      </c>
      <c r="EC10" s="93"/>
      <c r="ED10" s="93"/>
      <c r="EE10" s="93"/>
      <c r="EF10" s="93"/>
      <c r="EG10" s="93"/>
      <c r="EH10" s="93"/>
      <c r="EI10" s="166"/>
      <c r="EJ10" s="93">
        <v>9</v>
      </c>
      <c r="EK10" s="93"/>
      <c r="EL10" s="93"/>
      <c r="EM10" s="93"/>
      <c r="EN10" s="93"/>
      <c r="EO10" s="93"/>
      <c r="EP10" s="93"/>
      <c r="EQ10" s="93"/>
      <c r="ER10" s="93"/>
      <c r="ES10" s="93"/>
      <c r="ET10" s="93"/>
      <c r="EU10" s="93"/>
      <c r="EV10" s="179"/>
      <c r="EW10" s="180"/>
      <c r="EX10" s="180"/>
      <c r="EY10" s="180"/>
      <c r="EZ10" s="180"/>
      <c r="FA10" s="180"/>
      <c r="FB10" s="180"/>
      <c r="FC10" s="180"/>
      <c r="FD10" s="180"/>
      <c r="FE10" s="180">
        <v>8</v>
      </c>
      <c r="FF10" s="180"/>
      <c r="FG10" s="180"/>
      <c r="FH10" s="181"/>
      <c r="FI10" s="181"/>
      <c r="FJ10" s="176"/>
      <c r="FK10" s="181"/>
      <c r="FL10" s="181"/>
      <c r="FM10" s="182"/>
      <c r="FN10" s="166"/>
      <c r="FO10" s="166"/>
      <c r="FS10" s="93"/>
      <c r="FT10" s="93"/>
      <c r="FU10" s="166"/>
    </row>
    <row r="11" spans="1:177" s="178" customFormat="1" ht="21.95" customHeight="1" x14ac:dyDescent="0.25">
      <c r="B11" s="117"/>
      <c r="C11" s="118"/>
      <c r="D11" s="119"/>
      <c r="E11" s="118"/>
      <c r="F11" s="120"/>
      <c r="G11" s="226"/>
      <c r="H11" s="122"/>
      <c r="I11" s="123"/>
      <c r="J11" s="113"/>
      <c r="U11" s="124"/>
      <c r="V11" s="113"/>
      <c r="X11" s="91"/>
      <c r="Y11" s="100"/>
      <c r="Z11" s="101"/>
      <c r="AA11" s="101"/>
      <c r="AB11" s="101"/>
      <c r="AC11" s="100"/>
      <c r="AD11" s="101"/>
      <c r="AE11" s="101"/>
      <c r="AF11" s="101"/>
      <c r="AG11" s="100"/>
      <c r="AH11" s="101"/>
      <c r="AI11" s="101"/>
      <c r="AJ11" s="101"/>
      <c r="AK11" s="100"/>
      <c r="AL11" s="101"/>
      <c r="AM11" s="101"/>
      <c r="AN11" s="101"/>
      <c r="AO11" s="100"/>
      <c r="AP11" s="101"/>
      <c r="AQ11" s="101"/>
      <c r="AR11" s="101"/>
      <c r="AS11" s="100"/>
      <c r="AT11" s="101"/>
      <c r="AU11" s="101"/>
      <c r="AV11" s="101"/>
      <c r="AW11" s="100"/>
      <c r="AX11" s="101"/>
      <c r="AY11" s="101"/>
      <c r="AZ11" s="101"/>
      <c r="BA11" s="100"/>
      <c r="BB11" s="101"/>
      <c r="BC11" s="101"/>
      <c r="BD11" s="101"/>
      <c r="BE11" s="100"/>
      <c r="BF11" s="101"/>
      <c r="BG11" s="101"/>
      <c r="BH11" s="101"/>
      <c r="BI11" s="100"/>
      <c r="BJ11" s="101"/>
      <c r="BK11" s="101"/>
      <c r="BL11" s="101"/>
      <c r="BM11" s="100"/>
      <c r="BN11" s="101"/>
      <c r="BO11" s="101"/>
      <c r="BP11" s="101"/>
      <c r="BQ11" s="100"/>
      <c r="BR11" s="101"/>
      <c r="BS11" s="101"/>
      <c r="BT11" s="101"/>
      <c r="BU11" s="100"/>
      <c r="BV11" s="101"/>
      <c r="BW11" s="101"/>
      <c r="BX11" s="101"/>
      <c r="BY11" s="100"/>
      <c r="BZ11" s="101"/>
      <c r="CA11" s="101"/>
      <c r="CB11" s="101"/>
      <c r="CC11" s="100"/>
      <c r="CD11" s="101"/>
      <c r="CE11" s="101"/>
      <c r="CF11" s="101"/>
      <c r="CG11" s="100"/>
      <c r="CH11" s="101"/>
      <c r="CI11" s="101"/>
      <c r="CJ11" s="101"/>
      <c r="CK11" s="100"/>
      <c r="CL11" s="101"/>
      <c r="CM11" s="101"/>
      <c r="CN11" s="102"/>
      <c r="CO11" s="166"/>
      <c r="CP11" s="166"/>
      <c r="CQ11" s="169" t="s">
        <v>89</v>
      </c>
      <c r="CR11" s="1">
        <v>4</v>
      </c>
      <c r="CS11" s="166"/>
      <c r="CT11" s="166"/>
      <c r="CU11" s="331" t="s">
        <v>90</v>
      </c>
      <c r="CV11" s="170">
        <v>2</v>
      </c>
      <c r="CW11" s="172">
        <v>1</v>
      </c>
      <c r="CX11" s="172">
        <v>1</v>
      </c>
      <c r="CY11" s="172">
        <v>1</v>
      </c>
      <c r="CZ11" s="172" t="s">
        <v>28</v>
      </c>
      <c r="DA11" s="172"/>
      <c r="DB11" s="172">
        <v>1</v>
      </c>
      <c r="DC11" s="172">
        <v>1</v>
      </c>
      <c r="DD11" s="172">
        <v>1</v>
      </c>
      <c r="DE11" s="172">
        <v>1</v>
      </c>
      <c r="DF11" s="172">
        <f>EN5</f>
        <v>2</v>
      </c>
      <c r="DG11" s="172">
        <f>EN5</f>
        <v>2</v>
      </c>
      <c r="DH11" s="172">
        <v>2</v>
      </c>
      <c r="DI11" s="172">
        <v>1</v>
      </c>
      <c r="DJ11" s="172">
        <v>2</v>
      </c>
      <c r="DK11" s="173">
        <v>1</v>
      </c>
      <c r="DL11" s="93"/>
      <c r="DM11" s="170" t="s">
        <v>28</v>
      </c>
      <c r="DN11" s="172" t="s">
        <v>28</v>
      </c>
      <c r="DO11" s="172" t="s">
        <v>28</v>
      </c>
      <c r="DP11" s="172" t="s">
        <v>28</v>
      </c>
      <c r="DQ11" s="172" t="s">
        <v>28</v>
      </c>
      <c r="DR11" s="172"/>
      <c r="DS11" s="172" t="s">
        <v>28</v>
      </c>
      <c r="DT11" s="172" t="s">
        <v>28</v>
      </c>
      <c r="DU11" s="172" t="s">
        <v>28</v>
      </c>
      <c r="DV11" s="172" t="s">
        <v>28</v>
      </c>
      <c r="DW11" s="172" t="s">
        <v>28</v>
      </c>
      <c r="DX11" s="172" t="s">
        <v>28</v>
      </c>
      <c r="DY11" s="172" t="s">
        <v>28</v>
      </c>
      <c r="DZ11" s="172" t="s">
        <v>28</v>
      </c>
      <c r="EA11" s="172" t="s">
        <v>28</v>
      </c>
      <c r="EB11" s="173" t="s">
        <v>28</v>
      </c>
      <c r="EC11" s="93"/>
      <c r="ED11" s="93"/>
      <c r="EE11" s="93"/>
      <c r="EF11" s="93"/>
      <c r="EG11" s="93"/>
      <c r="EH11" s="93"/>
      <c r="EI11" s="166"/>
      <c r="EJ11" s="93">
        <v>10</v>
      </c>
      <c r="EK11" s="93"/>
      <c r="EL11" s="93"/>
      <c r="EM11" s="93"/>
      <c r="EN11" s="93"/>
      <c r="EO11" s="93"/>
      <c r="EP11" s="93"/>
      <c r="EQ11" s="93"/>
      <c r="ER11" s="93"/>
      <c r="ES11" s="93"/>
      <c r="ET11" s="93"/>
      <c r="EU11" s="93"/>
      <c r="EV11" s="170"/>
      <c r="EW11" s="171"/>
      <c r="EX11" s="171"/>
      <c r="EY11" s="171"/>
      <c r="EZ11" s="171"/>
      <c r="FA11" s="171"/>
      <c r="FB11" s="171"/>
      <c r="FC11" s="171"/>
      <c r="FD11" s="171"/>
      <c r="FE11" s="171"/>
      <c r="FF11" s="171"/>
      <c r="FG11" s="171"/>
      <c r="FH11" s="172"/>
      <c r="FI11" s="172"/>
      <c r="FJ11" s="172"/>
      <c r="FK11" s="172"/>
      <c r="FL11" s="172"/>
      <c r="FM11" s="173"/>
      <c r="FN11" s="166"/>
      <c r="FO11" s="166"/>
      <c r="FP11" s="93"/>
      <c r="FQ11" s="93"/>
      <c r="FR11" s="104"/>
      <c r="FS11" s="104"/>
      <c r="FT11" s="104"/>
      <c r="FU11" s="166"/>
    </row>
    <row r="12" spans="1:177" s="178" customFormat="1" ht="21.95" customHeight="1" x14ac:dyDescent="0.25">
      <c r="B12" s="325" t="str">
        <f>HLOOKUP($A$3,TourDeJeu,28,FALSE)</f>
        <v>Tour n°2</v>
      </c>
      <c r="C12" s="326"/>
      <c r="D12" s="326"/>
      <c r="E12" s="326"/>
      <c r="F12" s="326"/>
      <c r="G12" s="326"/>
      <c r="H12" s="326"/>
      <c r="I12" s="326"/>
      <c r="J12" s="327"/>
      <c r="K12" s="96"/>
      <c r="L12" s="96"/>
      <c r="M12" s="325" t="str">
        <f>HLOOKUP($A$3,TourDeJeu2,28,FALSE)</f>
        <v>-</v>
      </c>
      <c r="N12" s="326"/>
      <c r="O12" s="326"/>
      <c r="P12" s="326"/>
      <c r="Q12" s="326"/>
      <c r="R12" s="326"/>
      <c r="S12" s="326"/>
      <c r="T12" s="326"/>
      <c r="U12" s="327"/>
      <c r="V12" s="96"/>
      <c r="X12" s="91"/>
      <c r="Y12" s="100"/>
      <c r="Z12" s="101"/>
      <c r="AA12" s="125"/>
      <c r="AB12" s="186"/>
      <c r="AC12" s="100"/>
      <c r="AD12" s="101"/>
      <c r="AE12" s="125"/>
      <c r="AF12" s="186"/>
      <c r="AG12" s="100"/>
      <c r="AH12" s="101"/>
      <c r="AI12" s="125"/>
      <c r="AJ12" s="186"/>
      <c r="AK12" s="100"/>
      <c r="AL12" s="101"/>
      <c r="AM12" s="125"/>
      <c r="AN12" s="186"/>
      <c r="AO12" s="100"/>
      <c r="AP12" s="101"/>
      <c r="AQ12" s="125"/>
      <c r="AR12" s="186"/>
      <c r="AS12" s="100"/>
      <c r="AT12" s="101"/>
      <c r="AU12" s="125"/>
      <c r="AV12" s="186"/>
      <c r="AW12" s="100"/>
      <c r="AX12" s="101"/>
      <c r="AY12" s="125"/>
      <c r="AZ12" s="186"/>
      <c r="BA12" s="100"/>
      <c r="BB12" s="101"/>
      <c r="BC12" s="125"/>
      <c r="BD12" s="186"/>
      <c r="BE12" s="100"/>
      <c r="BF12" s="101"/>
      <c r="BG12" s="125"/>
      <c r="BH12" s="186"/>
      <c r="BI12" s="100"/>
      <c r="BJ12" s="101"/>
      <c r="BK12" s="125"/>
      <c r="BL12" s="186"/>
      <c r="BM12" s="100"/>
      <c r="BN12" s="101"/>
      <c r="BO12" s="125"/>
      <c r="BP12" s="186"/>
      <c r="BQ12" s="100"/>
      <c r="BR12" s="101"/>
      <c r="BS12" s="125"/>
      <c r="BT12" s="186"/>
      <c r="BU12" s="100"/>
      <c r="BV12" s="101"/>
      <c r="BW12" s="125"/>
      <c r="BX12" s="186"/>
      <c r="BY12" s="100"/>
      <c r="BZ12" s="101"/>
      <c r="CA12" s="125"/>
      <c r="CB12" s="186"/>
      <c r="CC12" s="100"/>
      <c r="CD12" s="101"/>
      <c r="CE12" s="125"/>
      <c r="CF12" s="186"/>
      <c r="CG12" s="100"/>
      <c r="CH12" s="101"/>
      <c r="CI12" s="125"/>
      <c r="CJ12" s="186"/>
      <c r="CK12" s="100"/>
      <c r="CL12" s="101"/>
      <c r="CM12" s="101"/>
      <c r="CN12" s="102"/>
      <c r="CO12" s="166"/>
      <c r="CP12" s="166"/>
      <c r="CQ12" s="169" t="s">
        <v>91</v>
      </c>
      <c r="CR12" s="1" t="s">
        <v>10</v>
      </c>
      <c r="CS12" s="166"/>
      <c r="CT12" s="166"/>
      <c r="CU12" s="331"/>
      <c r="CV12" s="174">
        <v>1</v>
      </c>
      <c r="CW12" s="176">
        <v>2</v>
      </c>
      <c r="CX12" s="176">
        <f>EN6</f>
        <v>3</v>
      </c>
      <c r="CY12" s="176">
        <f>EN6</f>
        <v>3</v>
      </c>
      <c r="CZ12" s="176" t="s">
        <v>28</v>
      </c>
      <c r="DA12" s="176"/>
      <c r="DB12" s="176">
        <f>EN6</f>
        <v>3</v>
      </c>
      <c r="DC12" s="176" t="e">
        <f>EO6</f>
        <v>#VALUE!</v>
      </c>
      <c r="DD12" s="176">
        <v>2</v>
      </c>
      <c r="DE12" s="176">
        <v>2</v>
      </c>
      <c r="DF12" s="176">
        <f>EN8</f>
        <v>5</v>
      </c>
      <c r="DG12" s="176">
        <f>EN8</f>
        <v>5</v>
      </c>
      <c r="DH12" s="176">
        <v>3</v>
      </c>
      <c r="DI12" s="176">
        <v>5</v>
      </c>
      <c r="DJ12" s="176">
        <v>6</v>
      </c>
      <c r="DK12" s="177">
        <f>$EN$6</f>
        <v>3</v>
      </c>
      <c r="DL12" s="93"/>
      <c r="DM12" s="174" t="s">
        <v>28</v>
      </c>
      <c r="DN12" s="176" t="s">
        <v>28</v>
      </c>
      <c r="DO12" s="176" t="s">
        <v>28</v>
      </c>
      <c r="DP12" s="176" t="s">
        <v>28</v>
      </c>
      <c r="DQ12" s="176" t="s">
        <v>28</v>
      </c>
      <c r="DR12" s="176"/>
      <c r="DS12" s="176" t="s">
        <v>28</v>
      </c>
      <c r="DT12" s="176" t="s">
        <v>28</v>
      </c>
      <c r="DU12" s="176" t="s">
        <v>28</v>
      </c>
      <c r="DV12" s="176" t="s">
        <v>28</v>
      </c>
      <c r="DW12" s="176" t="s">
        <v>28</v>
      </c>
      <c r="DX12" s="176" t="s">
        <v>28</v>
      </c>
      <c r="DY12" s="176" t="s">
        <v>28</v>
      </c>
      <c r="DZ12" s="176" t="s">
        <v>28</v>
      </c>
      <c r="EA12" s="176" t="s">
        <v>28</v>
      </c>
      <c r="EB12" s="177" t="s">
        <v>28</v>
      </c>
      <c r="EC12" s="93"/>
      <c r="ED12" s="93"/>
      <c r="EE12" s="93"/>
      <c r="EF12" s="93"/>
      <c r="EG12" s="93"/>
      <c r="EH12" s="93"/>
      <c r="EI12" s="93">
        <v>5</v>
      </c>
      <c r="EJ12" s="93">
        <v>11</v>
      </c>
      <c r="EK12" s="93"/>
      <c r="EL12" s="93"/>
      <c r="EM12" s="93" t="s">
        <v>92</v>
      </c>
      <c r="EN12" s="93">
        <f>VLOOKUP($EM$12,$EK$36:$EM$38,3,FALSE)</f>
        <v>1</v>
      </c>
      <c r="EO12" s="93">
        <f t="shared" ref="EO12:EO17" si="16">IF(ISERROR(EN12),"@",EN12)</f>
        <v>1</v>
      </c>
      <c r="EP12" s="93"/>
      <c r="EQ12" s="93"/>
      <c r="ER12" s="93"/>
      <c r="ES12" s="93"/>
      <c r="ET12" s="93"/>
      <c r="EU12" s="93"/>
      <c r="EV12" s="174"/>
      <c r="EW12" s="175"/>
      <c r="EX12" s="175"/>
      <c r="EY12" s="175"/>
      <c r="EZ12" s="175"/>
      <c r="FA12" s="175"/>
      <c r="FB12" s="175"/>
      <c r="FC12" s="175"/>
      <c r="FD12" s="175"/>
      <c r="FE12" s="175"/>
      <c r="FF12" s="175"/>
      <c r="FG12" s="175"/>
      <c r="FH12" s="176"/>
      <c r="FI12" s="176"/>
      <c r="FJ12" s="176"/>
      <c r="FK12" s="176"/>
      <c r="FL12" s="176"/>
      <c r="FM12" s="177"/>
      <c r="FN12" s="166"/>
      <c r="FO12" s="166"/>
      <c r="FP12" s="93"/>
      <c r="FQ12" s="93"/>
      <c r="FR12" s="104"/>
      <c r="FS12" s="104"/>
      <c r="FT12" s="104"/>
      <c r="FU12" s="166"/>
    </row>
    <row r="13" spans="1:177" s="178" customFormat="1" ht="21.95" customHeight="1" x14ac:dyDescent="0.25">
      <c r="B13" s="42" t="s">
        <v>68</v>
      </c>
      <c r="C13" s="42" t="s">
        <v>15</v>
      </c>
      <c r="D13" s="189" t="s">
        <v>57</v>
      </c>
      <c r="E13" s="42" t="s">
        <v>69</v>
      </c>
      <c r="F13" s="42" t="s">
        <v>70</v>
      </c>
      <c r="G13" s="81" t="s">
        <v>71</v>
      </c>
      <c r="H13" s="42" t="s">
        <v>72</v>
      </c>
      <c r="I13" s="42"/>
      <c r="J13" s="42" t="s">
        <v>73</v>
      </c>
      <c r="L13" s="49"/>
      <c r="M13" s="42" t="s">
        <v>68</v>
      </c>
      <c r="N13" s="42" t="s">
        <v>15</v>
      </c>
      <c r="O13" s="189" t="s">
        <v>57</v>
      </c>
      <c r="P13" s="42" t="s">
        <v>69</v>
      </c>
      <c r="Q13" s="42" t="s">
        <v>70</v>
      </c>
      <c r="R13" s="42" t="s">
        <v>71</v>
      </c>
      <c r="S13" s="42" t="s">
        <v>72</v>
      </c>
      <c r="T13" s="42"/>
      <c r="U13" s="42" t="s">
        <v>73</v>
      </c>
      <c r="V13" s="49"/>
      <c r="X13" s="126" t="s">
        <v>93</v>
      </c>
      <c r="Y13" s="100"/>
      <c r="Z13" s="127" t="s">
        <v>93</v>
      </c>
      <c r="AA13" s="128">
        <f>IF(ISERROR(AB13),0,AB13)</f>
        <v>1.6216216216216217</v>
      </c>
      <c r="AB13" s="102">
        <f>AA9/AA21</f>
        <v>1.6216216216216217</v>
      </c>
      <c r="AC13" s="100"/>
      <c r="AD13" s="127" t="s">
        <v>93</v>
      </c>
      <c r="AE13" s="128">
        <f>IF(ISERROR(AF13),0,AF13)</f>
        <v>1.3157894736842106</v>
      </c>
      <c r="AF13" s="102">
        <f>AE9/AE21</f>
        <v>1.3157894736842106</v>
      </c>
      <c r="AG13" s="100"/>
      <c r="AH13" s="127" t="s">
        <v>93</v>
      </c>
      <c r="AI13" s="128">
        <f>IF(ISERROR(AJ13),0,AJ13)</f>
        <v>1.0384615384615385</v>
      </c>
      <c r="AJ13" s="102">
        <f>AI9/AI21</f>
        <v>1.0384615384615385</v>
      </c>
      <c r="AK13" s="100"/>
      <c r="AL13" s="127" t="s">
        <v>93</v>
      </c>
      <c r="AM13" s="128">
        <f>IF(ISERROR(AN13),0,AN13)</f>
        <v>1.5324675324675325</v>
      </c>
      <c r="AN13" s="102">
        <f>AM9/AM21</f>
        <v>1.5324675324675325</v>
      </c>
      <c r="AO13" s="100"/>
      <c r="AP13" s="127" t="s">
        <v>93</v>
      </c>
      <c r="AQ13" s="128">
        <f>IF(ISERROR(AR13),0,AR13)</f>
        <v>1.5064935064935066</v>
      </c>
      <c r="AR13" s="102">
        <f>AQ9/AQ21</f>
        <v>1.5064935064935066</v>
      </c>
      <c r="AS13" s="100"/>
      <c r="AT13" s="127" t="s">
        <v>93</v>
      </c>
      <c r="AU13" s="128">
        <f>IF(ISERROR(AV13),0,AV13)</f>
        <v>1.2297297297297298</v>
      </c>
      <c r="AV13" s="102">
        <f>AU9/AU21</f>
        <v>1.2297297297297298</v>
      </c>
      <c r="AW13" s="100"/>
      <c r="AX13" s="127" t="s">
        <v>93</v>
      </c>
      <c r="AY13" s="128">
        <f>IF(ISERROR(AZ13),0,AZ13)</f>
        <v>0</v>
      </c>
      <c r="AZ13" s="102" t="e">
        <f>AY9/AY21</f>
        <v>#DIV/0!</v>
      </c>
      <c r="BA13" s="100"/>
      <c r="BB13" s="127" t="s">
        <v>93</v>
      </c>
      <c r="BC13" s="128" t="e">
        <f>BC9/BC21</f>
        <v>#DIV/0!</v>
      </c>
      <c r="BD13" s="102"/>
      <c r="BE13" s="100"/>
      <c r="BF13" s="127" t="s">
        <v>93</v>
      </c>
      <c r="BG13" s="128" t="e">
        <f>BG9/BG21</f>
        <v>#DIV/0!</v>
      </c>
      <c r="BH13" s="102"/>
      <c r="BI13" s="100"/>
      <c r="BJ13" s="127" t="s">
        <v>93</v>
      </c>
      <c r="BK13" s="128" t="e">
        <f>BK9/BK21</f>
        <v>#DIV/0!</v>
      </c>
      <c r="BL13" s="102"/>
      <c r="BM13" s="100"/>
      <c r="BN13" s="127" t="s">
        <v>93</v>
      </c>
      <c r="BO13" s="128" t="e">
        <f>BO9/BO21</f>
        <v>#DIV/0!</v>
      </c>
      <c r="BP13" s="102"/>
      <c r="BQ13" s="100"/>
      <c r="BR13" s="127" t="s">
        <v>93</v>
      </c>
      <c r="BS13" s="128" t="e">
        <f>BS9/BS21</f>
        <v>#DIV/0!</v>
      </c>
      <c r="BT13" s="102"/>
      <c r="BU13" s="100"/>
      <c r="BV13" s="127" t="s">
        <v>93</v>
      </c>
      <c r="BW13" s="128" t="e">
        <f>BW9/BW21</f>
        <v>#DIV/0!</v>
      </c>
      <c r="BX13" s="102"/>
      <c r="BY13" s="100"/>
      <c r="BZ13" s="127" t="s">
        <v>93</v>
      </c>
      <c r="CA13" s="128" t="e">
        <f>CA9/CA21</f>
        <v>#DIV/0!</v>
      </c>
      <c r="CB13" s="102"/>
      <c r="CC13" s="100"/>
      <c r="CD13" s="127" t="s">
        <v>93</v>
      </c>
      <c r="CE13" s="128" t="e">
        <f>CE9/CE21</f>
        <v>#DIV/0!</v>
      </c>
      <c r="CF13" s="102"/>
      <c r="CG13" s="100"/>
      <c r="CH13" s="127" t="s">
        <v>93</v>
      </c>
      <c r="CI13" s="128" t="e">
        <f>CI9/CI21</f>
        <v>#DIV/0!</v>
      </c>
      <c r="CJ13" s="102"/>
      <c r="CK13" s="100"/>
      <c r="CL13" s="101"/>
      <c r="CM13" s="101"/>
      <c r="CN13" s="102"/>
      <c r="CO13" s="166"/>
      <c r="CP13" s="166"/>
      <c r="CQ13" s="169" t="s">
        <v>94</v>
      </c>
      <c r="CR13" s="1">
        <v>4.5</v>
      </c>
      <c r="CS13" s="166"/>
      <c r="CT13" s="166"/>
      <c r="CU13" s="331"/>
      <c r="CV13" s="183"/>
      <c r="CW13" s="184"/>
      <c r="CX13" s="184"/>
      <c r="CY13" s="184"/>
      <c r="CZ13" s="184"/>
      <c r="DA13" s="184"/>
      <c r="DB13" s="184"/>
      <c r="DC13" s="184"/>
      <c r="DD13" s="184"/>
      <c r="DE13" s="184"/>
      <c r="DF13" s="184"/>
      <c r="DG13" s="184"/>
      <c r="DH13" s="184"/>
      <c r="DI13" s="184"/>
      <c r="DJ13" s="184"/>
      <c r="DK13" s="185"/>
      <c r="DL13" s="166"/>
      <c r="DM13" s="183"/>
      <c r="DN13" s="184"/>
      <c r="DO13" s="184"/>
      <c r="DP13" s="184"/>
      <c r="DQ13" s="184"/>
      <c r="DR13" s="184"/>
      <c r="DS13" s="184"/>
      <c r="DT13" s="184"/>
      <c r="DU13" s="184"/>
      <c r="DV13" s="184"/>
      <c r="DW13" s="184"/>
      <c r="DX13" s="184"/>
      <c r="DY13" s="184"/>
      <c r="DZ13" s="184"/>
      <c r="EA13" s="184"/>
      <c r="EB13" s="185"/>
      <c r="EC13" s="166"/>
      <c r="ED13" s="166"/>
      <c r="EE13" s="166"/>
      <c r="EF13" s="166"/>
      <c r="EG13" s="166"/>
      <c r="EH13" s="166"/>
      <c r="EI13" s="93">
        <v>6</v>
      </c>
      <c r="EJ13" s="93">
        <v>12</v>
      </c>
      <c r="EK13" s="93"/>
      <c r="EL13" s="93"/>
      <c r="EM13" s="93" t="s">
        <v>95</v>
      </c>
      <c r="EN13" s="93">
        <f>VLOOKUP(EM13,EK39:EM41,3,FALSE)</f>
        <v>4</v>
      </c>
      <c r="EO13" s="93">
        <f t="shared" si="16"/>
        <v>4</v>
      </c>
      <c r="EP13" s="93"/>
      <c r="EQ13" s="93"/>
      <c r="ER13" s="93"/>
      <c r="ES13" s="93"/>
      <c r="ET13" s="93"/>
      <c r="EU13" s="93"/>
      <c r="EV13" s="174"/>
      <c r="EW13" s="175"/>
      <c r="EX13" s="175"/>
      <c r="EY13" s="175"/>
      <c r="EZ13" s="175"/>
      <c r="FA13" s="175"/>
      <c r="FB13" s="175"/>
      <c r="FC13" s="175"/>
      <c r="FD13" s="175"/>
      <c r="FE13" s="175"/>
      <c r="FF13" s="175"/>
      <c r="FG13" s="175"/>
      <c r="FH13" s="176"/>
      <c r="FI13" s="176"/>
      <c r="FJ13" s="176"/>
      <c r="FK13" s="176"/>
      <c r="FL13" s="176"/>
      <c r="FM13" s="177"/>
      <c r="FN13" s="166"/>
      <c r="FO13" s="166"/>
      <c r="FP13" s="93"/>
      <c r="FQ13" s="93"/>
      <c r="FR13" s="104"/>
      <c r="FS13" s="104"/>
      <c r="FT13" s="104"/>
      <c r="FU13" s="166"/>
    </row>
    <row r="14" spans="1:177" s="178" customFormat="1" ht="21.95" customHeight="1" thickBot="1" x14ac:dyDescent="0.3">
      <c r="A14" s="178">
        <f>HLOOKUP($A$3,Scenario1,10,FALSE)</f>
        <v>1</v>
      </c>
      <c r="B14" s="106" t="s">
        <v>572</v>
      </c>
      <c r="C14" s="328">
        <f>HLOOKUP($A$3,TourDeJeu,35,FALSE)</f>
        <v>60</v>
      </c>
      <c r="D14" s="107">
        <v>51</v>
      </c>
      <c r="E14" s="108">
        <v>40</v>
      </c>
      <c r="F14" s="108">
        <v>5</v>
      </c>
      <c r="G14" s="225">
        <f>IF(E14="","",D14/E14)</f>
        <v>1.2749999999999999</v>
      </c>
      <c r="H14" s="110"/>
      <c r="I14" s="111">
        <f>IF(ISBLANK(D14),"",D14/E14+(F14/100))</f>
        <v>1.325</v>
      </c>
      <c r="J14" s="112">
        <f>IF(ISBLANK(D14),"",IF(D14&gt;D15,2,IF(D14=D15,1,0)))</f>
        <v>2</v>
      </c>
      <c r="L14" s="178" t="str">
        <f>HLOOKUP($A$3,scenario2,10,FALSE)</f>
        <v>@</v>
      </c>
      <c r="M14" s="106" t="str">
        <f>VLOOKUP($L14,joueurs,2,FALSE)</f>
        <v xml:space="preserve"> </v>
      </c>
      <c r="N14" s="328" t="str">
        <f>HLOOKUP($A$3,TourDeJeu2,35,FALSE)</f>
        <v>-</v>
      </c>
      <c r="O14" s="108"/>
      <c r="P14" s="108"/>
      <c r="Q14" s="108"/>
      <c r="R14" s="109" t="str">
        <f>IF(P14="","",O14/P14)</f>
        <v/>
      </c>
      <c r="S14" s="110"/>
      <c r="T14" s="111" t="str">
        <f>IF(ISBLANK(O14),"",O14/P14+(Q14/100))</f>
        <v/>
      </c>
      <c r="U14" s="112" t="str">
        <f>IF(ISBLANK(O14),"",IF(O14&gt;O15,2,IF(O14=O15,1,0)))</f>
        <v/>
      </c>
      <c r="V14" s="129"/>
      <c r="X14" s="126"/>
      <c r="Y14" s="101"/>
      <c r="Z14" s="101"/>
      <c r="AA14" s="125"/>
      <c r="AB14" s="102"/>
      <c r="AC14" s="101"/>
      <c r="AD14" s="101"/>
      <c r="AE14" s="125"/>
      <c r="AF14" s="102"/>
      <c r="AG14" s="101"/>
      <c r="AH14" s="101"/>
      <c r="AI14" s="125"/>
      <c r="AJ14" s="102"/>
      <c r="AK14" s="101"/>
      <c r="AL14" s="101"/>
      <c r="AM14" s="125"/>
      <c r="AN14" s="102"/>
      <c r="AO14" s="101"/>
      <c r="AP14" s="101"/>
      <c r="AQ14" s="125"/>
      <c r="AR14" s="102"/>
      <c r="AS14" s="101"/>
      <c r="AT14" s="101"/>
      <c r="AU14" s="125"/>
      <c r="AV14" s="102"/>
      <c r="AW14" s="101"/>
      <c r="AX14" s="101"/>
      <c r="AY14" s="125"/>
      <c r="AZ14" s="102"/>
      <c r="BA14" s="101"/>
      <c r="BB14" s="101"/>
      <c r="BC14" s="125"/>
      <c r="BD14" s="102"/>
      <c r="BE14" s="101"/>
      <c r="BF14" s="101"/>
      <c r="BG14" s="125"/>
      <c r="BH14" s="102"/>
      <c r="BI14" s="101"/>
      <c r="BJ14" s="101"/>
      <c r="BK14" s="125"/>
      <c r="BL14" s="102"/>
      <c r="BM14" s="101"/>
      <c r="BN14" s="101"/>
      <c r="BO14" s="125"/>
      <c r="BP14" s="102"/>
      <c r="BQ14" s="101"/>
      <c r="BR14" s="101"/>
      <c r="BS14" s="125"/>
      <c r="BT14" s="102"/>
      <c r="BU14" s="101"/>
      <c r="BV14" s="101"/>
      <c r="BW14" s="125"/>
      <c r="BX14" s="102"/>
      <c r="BY14" s="101"/>
      <c r="BZ14" s="101"/>
      <c r="CA14" s="125"/>
      <c r="CB14" s="102"/>
      <c r="CC14" s="101"/>
      <c r="CD14" s="101"/>
      <c r="CE14" s="125"/>
      <c r="CF14" s="102"/>
      <c r="CG14" s="101"/>
      <c r="CH14" s="101"/>
      <c r="CI14" s="125"/>
      <c r="CJ14" s="102"/>
      <c r="CK14" s="100"/>
      <c r="CL14" s="101"/>
      <c r="CM14" s="101"/>
      <c r="CN14" s="102"/>
      <c r="CO14" s="166"/>
      <c r="CP14" s="166"/>
      <c r="CQ14" s="169" t="s">
        <v>96</v>
      </c>
      <c r="CR14" s="1" t="s">
        <v>19</v>
      </c>
      <c r="CS14" s="166"/>
      <c r="CT14" s="166"/>
      <c r="CU14" s="331"/>
      <c r="CV14" s="174" t="s">
        <v>28</v>
      </c>
      <c r="CW14" s="176" t="s">
        <v>28</v>
      </c>
      <c r="CX14" s="176" t="s">
        <v>28</v>
      </c>
      <c r="CY14" s="176">
        <v>4</v>
      </c>
      <c r="CZ14" s="176" t="s">
        <v>28</v>
      </c>
      <c r="DA14" s="176"/>
      <c r="DB14" s="176" t="s">
        <v>28</v>
      </c>
      <c r="DC14" s="176" t="s">
        <v>28</v>
      </c>
      <c r="DD14" s="176">
        <v>3</v>
      </c>
      <c r="DE14" s="176">
        <v>3</v>
      </c>
      <c r="DF14" s="176">
        <f>EN6</f>
        <v>3</v>
      </c>
      <c r="DG14" s="176">
        <f>EN6</f>
        <v>3</v>
      </c>
      <c r="DH14" s="176">
        <v>1</v>
      </c>
      <c r="DI14" s="176">
        <v>2</v>
      </c>
      <c r="DJ14" s="176">
        <v>1</v>
      </c>
      <c r="DK14" s="177">
        <v>2</v>
      </c>
      <c r="DL14" s="93"/>
      <c r="DM14" s="174" t="s">
        <v>28</v>
      </c>
      <c r="DN14" s="176" t="s">
        <v>28</v>
      </c>
      <c r="DO14" s="176" t="s">
        <v>28</v>
      </c>
      <c r="DP14" s="176" t="s">
        <v>28</v>
      </c>
      <c r="DQ14" s="176" t="s">
        <v>28</v>
      </c>
      <c r="DR14" s="176"/>
      <c r="DS14" s="176" t="s">
        <v>28</v>
      </c>
      <c r="DT14" s="176" t="s">
        <v>28</v>
      </c>
      <c r="DU14" s="176" t="s">
        <v>28</v>
      </c>
      <c r="DV14" s="176" t="s">
        <v>28</v>
      </c>
      <c r="DW14" s="176" t="s">
        <v>28</v>
      </c>
      <c r="DX14" s="176" t="s">
        <v>28</v>
      </c>
      <c r="DY14" s="176" t="s">
        <v>28</v>
      </c>
      <c r="DZ14" s="176" t="s">
        <v>28</v>
      </c>
      <c r="EA14" s="176" t="s">
        <v>28</v>
      </c>
      <c r="EB14" s="177" t="s">
        <v>28</v>
      </c>
      <c r="EC14" s="93"/>
      <c r="ED14" s="93"/>
      <c r="EE14" s="93"/>
      <c r="EF14" s="93"/>
      <c r="EG14" s="93"/>
      <c r="EH14" s="93"/>
      <c r="EI14" s="93">
        <v>4</v>
      </c>
      <c r="EJ14" s="93">
        <v>13</v>
      </c>
      <c r="EK14" s="93"/>
      <c r="EL14" s="93"/>
      <c r="EM14" s="93" t="s">
        <v>97</v>
      </c>
      <c r="EN14" s="93">
        <f>VLOOKUP($EM$14,$EK$36:$EM$38,3,FALSE)</f>
        <v>2</v>
      </c>
      <c r="EO14" s="93">
        <f t="shared" si="16"/>
        <v>2</v>
      </c>
      <c r="EP14" s="93"/>
      <c r="EQ14" s="93"/>
      <c r="ER14" s="93"/>
      <c r="ES14" s="93"/>
      <c r="ET14" s="93"/>
      <c r="EU14" s="93"/>
      <c r="EV14" s="179"/>
      <c r="EW14" s="180"/>
      <c r="EX14" s="180"/>
      <c r="EY14" s="180"/>
      <c r="EZ14" s="180"/>
      <c r="FA14" s="180"/>
      <c r="FB14" s="180"/>
      <c r="FC14" s="180"/>
      <c r="FD14" s="180"/>
      <c r="FE14" s="180"/>
      <c r="FF14" s="180"/>
      <c r="FG14" s="180"/>
      <c r="FH14" s="181"/>
      <c r="FI14" s="181"/>
      <c r="FJ14" s="181"/>
      <c r="FK14" s="181"/>
      <c r="FL14" s="181"/>
      <c r="FM14" s="182"/>
      <c r="FN14" s="166"/>
      <c r="FO14" s="166"/>
      <c r="FP14" s="93"/>
      <c r="FQ14" s="93"/>
      <c r="FR14" s="104"/>
      <c r="FS14" s="104"/>
      <c r="FT14" s="104"/>
      <c r="FU14" s="166"/>
    </row>
    <row r="15" spans="1:177" s="178" customFormat="1" ht="21.95" customHeight="1" thickBot="1" x14ac:dyDescent="0.3">
      <c r="A15" s="178">
        <f>HLOOKUP($A$3,Scenario1,11,FALSE)</f>
        <v>3</v>
      </c>
      <c r="B15" s="106" t="str">
        <f>VLOOKUP($A15,joueurs,2,FALSE)</f>
        <v>LENGAIGNE DANIEL</v>
      </c>
      <c r="C15" s="329"/>
      <c r="D15" s="107">
        <v>42</v>
      </c>
      <c r="E15" s="114">
        <f>IF(E14="","",E14)</f>
        <v>40</v>
      </c>
      <c r="F15" s="108">
        <v>8</v>
      </c>
      <c r="G15" s="225">
        <f>IF(E15="","",D15/E15)</f>
        <v>1.05</v>
      </c>
      <c r="H15" s="115">
        <f>H14</f>
        <v>0</v>
      </c>
      <c r="I15" s="111">
        <f>IF(ISBLANK(D15),"",D15/E15+(F15/100))</f>
        <v>1.1300000000000001</v>
      </c>
      <c r="J15" s="112">
        <f>IF(ISBLANK(D15),"",IF(D15&gt;D14,2,IF(D15=D14,1,0)))</f>
        <v>0</v>
      </c>
      <c r="L15" s="178" t="str">
        <f>HLOOKUP($A$3,scenario2,11,FALSE)</f>
        <v>@</v>
      </c>
      <c r="M15" s="106" t="str">
        <f>VLOOKUP($L15,joueurs,2,FALSE)</f>
        <v xml:space="preserve"> </v>
      </c>
      <c r="N15" s="329"/>
      <c r="O15" s="108"/>
      <c r="P15" s="114" t="str">
        <f>IF(P14="","",P14)</f>
        <v/>
      </c>
      <c r="Q15" s="108"/>
      <c r="R15" s="109" t="str">
        <f>IF(P15="","",O15/P15)</f>
        <v/>
      </c>
      <c r="S15" s="115">
        <f>S14</f>
        <v>0</v>
      </c>
      <c r="T15" s="111" t="str">
        <f>IF(ISBLANK(O15),"",O15/P15+(Q15/100))</f>
        <v/>
      </c>
      <c r="U15" s="112" t="str">
        <f>IF(ISBLANK(O15),"",IF(O15&gt;O14,2,IF(O15=O14,1,0)))</f>
        <v/>
      </c>
      <c r="V15" s="129"/>
      <c r="X15" s="93" t="s">
        <v>98</v>
      </c>
      <c r="Y15" s="101">
        <f>VLOOKUP(Z$2,Poule1,4,FALSE)</f>
        <v>38</v>
      </c>
      <c r="Z15" s="101" t="s">
        <v>98</v>
      </c>
      <c r="AA15" s="101">
        <f t="shared" ref="AA15:AA20" si="17">IF(ISERROR(Y15),0,Y15)</f>
        <v>38</v>
      </c>
      <c r="AB15" s="102"/>
      <c r="AC15" s="101" t="e">
        <f>VLOOKUP(AD$2,Poule1,4,FALSE)</f>
        <v>#N/A</v>
      </c>
      <c r="AD15" s="101" t="s">
        <v>98</v>
      </c>
      <c r="AE15" s="101">
        <f t="shared" ref="AE15:AE20" si="18">IF(ISERROR(AC15),0,AC15)</f>
        <v>0</v>
      </c>
      <c r="AF15" s="102"/>
      <c r="AG15" s="101">
        <f>VLOOKUP(AH$2,Poule1,4,FALSE)</f>
        <v>38</v>
      </c>
      <c r="AH15" s="101" t="s">
        <v>98</v>
      </c>
      <c r="AI15" s="101">
        <f t="shared" ref="AI15:AI20" si="19">IF(ISERROR(AG15),0,AG15)</f>
        <v>38</v>
      </c>
      <c r="AJ15" s="102"/>
      <c r="AK15" s="101" t="e">
        <f>VLOOKUP(AL$2,Poule1,4,FALSE)</f>
        <v>#N/A</v>
      </c>
      <c r="AL15" s="101" t="s">
        <v>98</v>
      </c>
      <c r="AM15" s="101">
        <f t="shared" ref="AM15:AM20" si="20">IF(ISERROR(AK15),0,AK15)</f>
        <v>0</v>
      </c>
      <c r="AN15" s="102"/>
      <c r="AO15" s="101">
        <f>VLOOKUP(AP$2,Poule1,4,FALSE)</f>
        <v>37</v>
      </c>
      <c r="AP15" s="101" t="s">
        <v>98</v>
      </c>
      <c r="AQ15" s="101">
        <f t="shared" ref="AQ15:AQ20" si="21">IF(ISERROR(AO15),0,AO15)</f>
        <v>37</v>
      </c>
      <c r="AR15" s="102"/>
      <c r="AS15" s="101">
        <f>VLOOKUP(AT$2,Poule1,4,FALSE)</f>
        <v>37</v>
      </c>
      <c r="AT15" s="101" t="s">
        <v>98</v>
      </c>
      <c r="AU15" s="101">
        <f t="shared" ref="AU15:AU20" si="22">IF(ISERROR(AS15),0,AS15)</f>
        <v>37</v>
      </c>
      <c r="AV15" s="102"/>
      <c r="AW15" s="101" t="e">
        <f>VLOOKUP(AX$2,Poule1,4,FALSE)</f>
        <v>#N/A</v>
      </c>
      <c r="AX15" s="101" t="s">
        <v>98</v>
      </c>
      <c r="AY15" s="101">
        <f t="shared" ref="AY15:AY20" si="23">IF(ISERROR(AW15),0,AW15)</f>
        <v>0</v>
      </c>
      <c r="AZ15" s="102"/>
      <c r="BA15" s="101" t="e">
        <f>VLOOKUP(BB$2,Poule1,4,FALSE)</f>
        <v>#N/A</v>
      </c>
      <c r="BB15" s="101" t="s">
        <v>98</v>
      </c>
      <c r="BC15" s="101">
        <f t="shared" ref="BC15:BC20" si="24">IF(ISERROR(BA15),0,BA15)</f>
        <v>0</v>
      </c>
      <c r="BD15" s="102"/>
      <c r="BE15" s="101" t="e">
        <f>VLOOKUP(BF$2,Poule1,4,FALSE)</f>
        <v>#N/A</v>
      </c>
      <c r="BF15" s="101" t="s">
        <v>98</v>
      </c>
      <c r="BG15" s="101">
        <f t="shared" ref="BG15:BG20" si="25">IF(ISERROR(BE15),0,BE15)</f>
        <v>0</v>
      </c>
      <c r="BH15" s="102"/>
      <c r="BI15" s="101" t="e">
        <f>VLOOKUP(BJ$2,Poule1,4,FALSE)</f>
        <v>#N/A</v>
      </c>
      <c r="BJ15" s="101" t="s">
        <v>98</v>
      </c>
      <c r="BK15" s="101">
        <f t="shared" ref="BK15:BK20" si="26">IF(ISERROR(BI15),0,BI15)</f>
        <v>0</v>
      </c>
      <c r="BL15" s="102"/>
      <c r="BM15" s="101" t="e">
        <f>VLOOKUP(BN$2,Poule1,4,FALSE)</f>
        <v>#N/A</v>
      </c>
      <c r="BN15" s="101" t="s">
        <v>98</v>
      </c>
      <c r="BO15" s="101">
        <f t="shared" ref="BO15:BO20" si="27">IF(ISERROR(BM15),0,BM15)</f>
        <v>0</v>
      </c>
      <c r="BP15" s="102"/>
      <c r="BQ15" s="101" t="e">
        <f>VLOOKUP(BR$2,Poule1,4,FALSE)</f>
        <v>#N/A</v>
      </c>
      <c r="BR15" s="101" t="s">
        <v>98</v>
      </c>
      <c r="BS15" s="101">
        <f t="shared" ref="BS15:BS20" si="28">IF(ISERROR(BQ15),0,BQ15)</f>
        <v>0</v>
      </c>
      <c r="BT15" s="102"/>
      <c r="BU15" s="101" t="e">
        <f>VLOOKUP(BV$2,Poule1,4,FALSE)</f>
        <v>#N/A</v>
      </c>
      <c r="BV15" s="101" t="s">
        <v>98</v>
      </c>
      <c r="BW15" s="101">
        <f t="shared" ref="BW15:BW20" si="29">IF(ISERROR(BU15),0,BU15)</f>
        <v>0</v>
      </c>
      <c r="BX15" s="102"/>
      <c r="BY15" s="101" t="e">
        <f>VLOOKUP(BZ$2,Poule1,4,FALSE)</f>
        <v>#N/A</v>
      </c>
      <c r="BZ15" s="101" t="s">
        <v>98</v>
      </c>
      <c r="CA15" s="101">
        <f t="shared" ref="CA15:CA20" si="30">IF(ISERROR(BY15),0,BY15)</f>
        <v>0</v>
      </c>
      <c r="CB15" s="102"/>
      <c r="CC15" s="101" t="e">
        <f>VLOOKUP(CD$2,Poule1,4,FALSE)</f>
        <v>#N/A</v>
      </c>
      <c r="CD15" s="101" t="s">
        <v>98</v>
      </c>
      <c r="CE15" s="101">
        <f t="shared" ref="CE15:CE20" si="31">IF(ISERROR(CC15),0,CC15)</f>
        <v>0</v>
      </c>
      <c r="CF15" s="102"/>
      <c r="CG15" s="101" t="e">
        <f>VLOOKUP(CH$2,Poule1,4,FALSE)</f>
        <v>#N/A</v>
      </c>
      <c r="CH15" s="101" t="s">
        <v>98</v>
      </c>
      <c r="CI15" s="101">
        <f t="shared" ref="CI15:CI20" si="32">IF(ISERROR(CG15),0,CG15)</f>
        <v>0</v>
      </c>
      <c r="CJ15" s="102"/>
      <c r="CK15" s="100"/>
      <c r="CL15" s="101"/>
      <c r="CM15" s="101"/>
      <c r="CN15" s="102"/>
      <c r="CO15" s="166"/>
      <c r="CP15" s="166"/>
      <c r="CQ15" s="169" t="s">
        <v>11</v>
      </c>
      <c r="CR15" s="1">
        <v>5</v>
      </c>
      <c r="CS15" s="166"/>
      <c r="CT15" s="166"/>
      <c r="CU15" s="331"/>
      <c r="CV15" s="179" t="s">
        <v>28</v>
      </c>
      <c r="CW15" s="181" t="s">
        <v>28</v>
      </c>
      <c r="CX15" s="181" t="s">
        <v>28</v>
      </c>
      <c r="CY15" s="181">
        <f>EN9</f>
        <v>6</v>
      </c>
      <c r="CZ15" s="181" t="s">
        <v>28</v>
      </c>
      <c r="DA15" s="181"/>
      <c r="DB15" s="181" t="s">
        <v>28</v>
      </c>
      <c r="DC15" s="181" t="s">
        <v>28</v>
      </c>
      <c r="DD15" s="181">
        <v>4</v>
      </c>
      <c r="DE15" s="181">
        <v>4</v>
      </c>
      <c r="DF15" s="181">
        <f>EN9</f>
        <v>6</v>
      </c>
      <c r="DG15" s="181">
        <f>EN9</f>
        <v>6</v>
      </c>
      <c r="DH15" s="181">
        <v>5</v>
      </c>
      <c r="DI15" s="181">
        <v>3</v>
      </c>
      <c r="DJ15" s="181">
        <v>5</v>
      </c>
      <c r="DK15" s="182">
        <f>EN9</f>
        <v>6</v>
      </c>
      <c r="DL15" s="93"/>
      <c r="DM15" s="179" t="s">
        <v>28</v>
      </c>
      <c r="DN15" s="181" t="s">
        <v>28</v>
      </c>
      <c r="DO15" s="181" t="s">
        <v>28</v>
      </c>
      <c r="DP15" s="181" t="s">
        <v>28</v>
      </c>
      <c r="DQ15" s="181" t="s">
        <v>28</v>
      </c>
      <c r="DR15" s="181"/>
      <c r="DS15" s="181" t="s">
        <v>28</v>
      </c>
      <c r="DT15" s="181" t="s">
        <v>28</v>
      </c>
      <c r="DU15" s="181" t="s">
        <v>28</v>
      </c>
      <c r="DV15" s="181" t="s">
        <v>28</v>
      </c>
      <c r="DW15" s="181" t="s">
        <v>28</v>
      </c>
      <c r="DX15" s="181" t="s">
        <v>28</v>
      </c>
      <c r="DY15" s="181" t="s">
        <v>28</v>
      </c>
      <c r="DZ15" s="181" t="s">
        <v>28</v>
      </c>
      <c r="EA15" s="181" t="s">
        <v>28</v>
      </c>
      <c r="EB15" s="182" t="s">
        <v>28</v>
      </c>
      <c r="EC15" s="93"/>
      <c r="ED15" s="93"/>
      <c r="EE15" s="93"/>
      <c r="EF15" s="93"/>
      <c r="EG15" s="93"/>
      <c r="EH15" s="93"/>
      <c r="EI15" s="93">
        <v>7</v>
      </c>
      <c r="EJ15" s="93">
        <v>14</v>
      </c>
      <c r="EK15" s="93"/>
      <c r="EL15" s="93"/>
      <c r="EM15" s="93" t="s">
        <v>99</v>
      </c>
      <c r="EN15" s="93">
        <f>VLOOKUP(EM15,EK39:EM41,3,FALSE)</f>
        <v>5</v>
      </c>
      <c r="EO15" s="93">
        <f t="shared" si="16"/>
        <v>5</v>
      </c>
      <c r="EP15" s="93"/>
      <c r="EQ15" s="93"/>
      <c r="ER15" s="93"/>
      <c r="ES15" s="93"/>
      <c r="ET15" s="93"/>
      <c r="EU15" s="93"/>
      <c r="EV15" s="170"/>
      <c r="EW15" s="171"/>
      <c r="EX15" s="171"/>
      <c r="EY15" s="171"/>
      <c r="EZ15" s="171"/>
      <c r="FA15" s="171"/>
      <c r="FB15" s="171"/>
      <c r="FC15" s="171"/>
      <c r="FD15" s="171"/>
      <c r="FE15" s="171"/>
      <c r="FF15" s="171"/>
      <c r="FG15" s="171"/>
      <c r="FH15" s="172"/>
      <c r="FI15" s="172"/>
      <c r="FJ15" s="172"/>
      <c r="FK15" s="172"/>
      <c r="FL15" s="172"/>
      <c r="FM15" s="173"/>
      <c r="FN15" s="166"/>
      <c r="FO15" s="166"/>
      <c r="FP15" s="93"/>
      <c r="FQ15" s="93"/>
      <c r="FR15" s="104"/>
      <c r="FS15" s="104"/>
      <c r="FT15" s="104"/>
      <c r="FU15" s="166"/>
    </row>
    <row r="16" spans="1:177" s="178" customFormat="1" ht="21.95" customHeight="1" x14ac:dyDescent="0.25">
      <c r="B16" s="42" t="s">
        <v>68</v>
      </c>
      <c r="C16" s="42" t="s">
        <v>15</v>
      </c>
      <c r="D16" s="189" t="s">
        <v>57</v>
      </c>
      <c r="E16" s="42" t="s">
        <v>69</v>
      </c>
      <c r="F16" s="42" t="s">
        <v>70</v>
      </c>
      <c r="G16" s="81" t="s">
        <v>71</v>
      </c>
      <c r="H16" s="42" t="s">
        <v>72</v>
      </c>
      <c r="I16" s="42"/>
      <c r="J16" s="42" t="s">
        <v>73</v>
      </c>
      <c r="L16" s="49"/>
      <c r="M16" s="42" t="s">
        <v>68</v>
      </c>
      <c r="N16" s="42" t="s">
        <v>15</v>
      </c>
      <c r="O16" s="189" t="s">
        <v>57</v>
      </c>
      <c r="P16" s="42" t="s">
        <v>69</v>
      </c>
      <c r="Q16" s="42" t="s">
        <v>70</v>
      </c>
      <c r="R16" s="42" t="s">
        <v>71</v>
      </c>
      <c r="S16" s="42" t="s">
        <v>72</v>
      </c>
      <c r="T16" s="42"/>
      <c r="U16" s="42" t="s">
        <v>73</v>
      </c>
      <c r="V16" s="49"/>
      <c r="X16" s="93" t="s">
        <v>100</v>
      </c>
      <c r="Y16" s="100" t="e">
        <f>VLOOKUP(Z$2,poule2,4,FALSE)</f>
        <v>#N/A</v>
      </c>
      <c r="Z16" s="101" t="s">
        <v>100</v>
      </c>
      <c r="AA16" s="101">
        <f t="shared" si="17"/>
        <v>0</v>
      </c>
      <c r="AB16" s="101"/>
      <c r="AC16" s="100">
        <f>VLOOKUP(AD$2,poule2,4,FALSE)</f>
        <v>40</v>
      </c>
      <c r="AD16" s="101" t="s">
        <v>100</v>
      </c>
      <c r="AE16" s="101">
        <f t="shared" si="18"/>
        <v>40</v>
      </c>
      <c r="AF16" s="101"/>
      <c r="AG16" s="100">
        <f>VLOOKUP(AH$2,poule2,4,FALSE)</f>
        <v>40</v>
      </c>
      <c r="AH16" s="101" t="s">
        <v>100</v>
      </c>
      <c r="AI16" s="101">
        <f t="shared" si="19"/>
        <v>40</v>
      </c>
      <c r="AJ16" s="101"/>
      <c r="AK16" s="100">
        <f>VLOOKUP(AL$2,poule2,4,FALSE)</f>
        <v>37</v>
      </c>
      <c r="AL16" s="101" t="s">
        <v>100</v>
      </c>
      <c r="AM16" s="101">
        <f t="shared" si="20"/>
        <v>37</v>
      </c>
      <c r="AN16" s="101"/>
      <c r="AO16" s="100" t="e">
        <f>VLOOKUP(AP$2,poule2,4,FALSE)</f>
        <v>#N/A</v>
      </c>
      <c r="AP16" s="101" t="s">
        <v>100</v>
      </c>
      <c r="AQ16" s="101">
        <f t="shared" si="21"/>
        <v>0</v>
      </c>
      <c r="AR16" s="101"/>
      <c r="AS16" s="100">
        <f>VLOOKUP(AT$2,poule2,4,FALSE)</f>
        <v>37</v>
      </c>
      <c r="AT16" s="101" t="s">
        <v>100</v>
      </c>
      <c r="AU16" s="101">
        <f t="shared" si="22"/>
        <v>37</v>
      </c>
      <c r="AV16" s="101"/>
      <c r="AW16" s="100" t="e">
        <f>VLOOKUP(AX$2,poule2,4,FALSE)</f>
        <v>#N/A</v>
      </c>
      <c r="AX16" s="101" t="s">
        <v>100</v>
      </c>
      <c r="AY16" s="101">
        <f t="shared" si="23"/>
        <v>0</v>
      </c>
      <c r="AZ16" s="101"/>
      <c r="BA16" s="100" t="e">
        <f>VLOOKUP(BB$2,poule2,4,FALSE)</f>
        <v>#N/A</v>
      </c>
      <c r="BB16" s="101" t="s">
        <v>100</v>
      </c>
      <c r="BC16" s="101">
        <f t="shared" si="24"/>
        <v>0</v>
      </c>
      <c r="BD16" s="101"/>
      <c r="BE16" s="100" t="e">
        <f>VLOOKUP(BF$2,poule2,4,FALSE)</f>
        <v>#N/A</v>
      </c>
      <c r="BF16" s="101" t="s">
        <v>100</v>
      </c>
      <c r="BG16" s="101">
        <f t="shared" si="25"/>
        <v>0</v>
      </c>
      <c r="BH16" s="101"/>
      <c r="BI16" s="100" t="e">
        <f>VLOOKUP(BJ$2,poule2,4,FALSE)</f>
        <v>#N/A</v>
      </c>
      <c r="BJ16" s="101" t="s">
        <v>100</v>
      </c>
      <c r="BK16" s="101">
        <f t="shared" si="26"/>
        <v>0</v>
      </c>
      <c r="BL16" s="101"/>
      <c r="BM16" s="100" t="e">
        <f>VLOOKUP(BN$2,poule2,4,FALSE)</f>
        <v>#N/A</v>
      </c>
      <c r="BN16" s="101" t="s">
        <v>100</v>
      </c>
      <c r="BO16" s="101">
        <f t="shared" si="27"/>
        <v>0</v>
      </c>
      <c r="BP16" s="101"/>
      <c r="BQ16" s="100" t="e">
        <f>VLOOKUP(BR$2,poule2,4,FALSE)</f>
        <v>#N/A</v>
      </c>
      <c r="BR16" s="101" t="s">
        <v>100</v>
      </c>
      <c r="BS16" s="101">
        <f t="shared" si="28"/>
        <v>0</v>
      </c>
      <c r="BT16" s="101"/>
      <c r="BU16" s="100" t="e">
        <f>VLOOKUP(BV$2,poule2,4,FALSE)</f>
        <v>#N/A</v>
      </c>
      <c r="BV16" s="101" t="s">
        <v>100</v>
      </c>
      <c r="BW16" s="101">
        <f t="shared" si="29"/>
        <v>0</v>
      </c>
      <c r="BX16" s="101"/>
      <c r="BY16" s="100" t="e">
        <f>VLOOKUP(BZ$2,poule2,4,FALSE)</f>
        <v>#N/A</v>
      </c>
      <c r="BZ16" s="101" t="s">
        <v>100</v>
      </c>
      <c r="CA16" s="101">
        <f t="shared" si="30"/>
        <v>0</v>
      </c>
      <c r="CB16" s="101"/>
      <c r="CC16" s="100" t="e">
        <f>VLOOKUP(CD$2,poule2,4,FALSE)</f>
        <v>#N/A</v>
      </c>
      <c r="CD16" s="101" t="s">
        <v>100</v>
      </c>
      <c r="CE16" s="101">
        <f t="shared" si="31"/>
        <v>0</v>
      </c>
      <c r="CF16" s="101"/>
      <c r="CG16" s="100" t="e">
        <f>VLOOKUP(CH$2,poule2,4,FALSE)</f>
        <v>#N/A</v>
      </c>
      <c r="CH16" s="101" t="s">
        <v>100</v>
      </c>
      <c r="CI16" s="101">
        <f t="shared" si="32"/>
        <v>0</v>
      </c>
      <c r="CJ16" s="101"/>
      <c r="CK16" s="100"/>
      <c r="CL16" s="101"/>
      <c r="CM16" s="101"/>
      <c r="CN16" s="102"/>
      <c r="CO16" s="166"/>
      <c r="CP16" s="166"/>
      <c r="CQ16" s="169" t="s">
        <v>101</v>
      </c>
      <c r="CR16" s="1" t="s">
        <v>22</v>
      </c>
      <c r="CS16" s="166"/>
      <c r="CT16" s="166"/>
      <c r="CU16" s="331" t="s">
        <v>79</v>
      </c>
      <c r="CV16" s="170" t="s">
        <v>28</v>
      </c>
      <c r="CW16" s="172">
        <v>1</v>
      </c>
      <c r="CX16" s="172">
        <v>1</v>
      </c>
      <c r="CY16" s="172">
        <v>1</v>
      </c>
      <c r="CZ16" s="172" t="s">
        <v>28</v>
      </c>
      <c r="DA16" s="172"/>
      <c r="DB16" s="172">
        <v>1</v>
      </c>
      <c r="DC16" s="172">
        <v>1</v>
      </c>
      <c r="DD16" s="172" t="s">
        <v>28</v>
      </c>
      <c r="DE16" s="172" t="s">
        <v>28</v>
      </c>
      <c r="DF16" s="172">
        <f>EN5</f>
        <v>2</v>
      </c>
      <c r="DG16" s="172">
        <f>EN5</f>
        <v>2</v>
      </c>
      <c r="DH16" s="172">
        <v>1</v>
      </c>
      <c r="DI16" s="172">
        <v>1</v>
      </c>
      <c r="DJ16" s="172">
        <v>2</v>
      </c>
      <c r="DK16" s="173">
        <v>1</v>
      </c>
      <c r="DL16" s="93"/>
      <c r="DM16" s="170" t="s">
        <v>28</v>
      </c>
      <c r="DN16" s="172" t="s">
        <v>28</v>
      </c>
      <c r="DO16" s="172" t="s">
        <v>28</v>
      </c>
      <c r="DP16" s="172" t="s">
        <v>28</v>
      </c>
      <c r="DQ16" s="172" t="s">
        <v>28</v>
      </c>
      <c r="DR16" s="172"/>
      <c r="DS16" s="172" t="s">
        <v>28</v>
      </c>
      <c r="DT16" s="172" t="s">
        <v>28</v>
      </c>
      <c r="DU16" s="172" t="s">
        <v>28</v>
      </c>
      <c r="DV16" s="172" t="s">
        <v>28</v>
      </c>
      <c r="DW16" s="172" t="s">
        <v>28</v>
      </c>
      <c r="DX16" s="172" t="s">
        <v>28</v>
      </c>
      <c r="DY16" s="172" t="s">
        <v>28</v>
      </c>
      <c r="DZ16" s="172" t="s">
        <v>28</v>
      </c>
      <c r="EA16" s="172" t="s">
        <v>28</v>
      </c>
      <c r="EB16" s="173">
        <f>EO12</f>
        <v>1</v>
      </c>
      <c r="EC16" s="93"/>
      <c r="ED16" s="93"/>
      <c r="EE16" s="93"/>
      <c r="EF16" s="93"/>
      <c r="EG16" s="93"/>
      <c r="EH16" s="93"/>
      <c r="EI16" s="93">
        <v>4</v>
      </c>
      <c r="EJ16" s="93">
        <v>15</v>
      </c>
      <c r="EK16" s="93"/>
      <c r="EL16" s="93"/>
      <c r="EM16" s="93" t="s">
        <v>102</v>
      </c>
      <c r="EN16" s="93">
        <f>VLOOKUP($EM$16,$EK$36:$EM$38,3,FALSE)</f>
        <v>3</v>
      </c>
      <c r="EO16" s="93">
        <f t="shared" si="16"/>
        <v>3</v>
      </c>
      <c r="EP16" s="93"/>
      <c r="EQ16" s="93"/>
      <c r="ER16" s="93"/>
      <c r="ES16" s="93"/>
      <c r="ET16" s="93"/>
      <c r="EU16" s="93"/>
      <c r="EV16" s="174"/>
      <c r="EW16" s="175"/>
      <c r="EX16" s="175"/>
      <c r="EY16" s="175"/>
      <c r="EZ16" s="175"/>
      <c r="FA16" s="175"/>
      <c r="FB16" s="175"/>
      <c r="FC16" s="175"/>
      <c r="FD16" s="175"/>
      <c r="FE16" s="175"/>
      <c r="FF16" s="175"/>
      <c r="FG16" s="175"/>
      <c r="FH16" s="176"/>
      <c r="FI16" s="176"/>
      <c r="FJ16" s="176"/>
      <c r="FK16" s="176"/>
      <c r="FL16" s="176"/>
      <c r="FM16" s="177"/>
      <c r="FN16" s="166"/>
      <c r="FO16" s="166"/>
      <c r="FP16" s="93"/>
      <c r="FQ16" s="93"/>
      <c r="FR16" s="104"/>
      <c r="FS16" s="104"/>
      <c r="FT16" s="104"/>
      <c r="FU16" s="166"/>
    </row>
    <row r="17" spans="1:177" s="178" customFormat="1" ht="21.95" customHeight="1" x14ac:dyDescent="0.25">
      <c r="A17" s="178">
        <f>HLOOKUP($A$3,Scenario1,13,FALSE)</f>
        <v>4</v>
      </c>
      <c r="B17" s="106" t="str">
        <f>VLOOKUP($A17,joueurs,2,FALSE)</f>
        <v>BLANCHARD THIERRY</v>
      </c>
      <c r="C17" s="328">
        <f>HLOOKUP($A$3,TourDeJeu,36,FALSE)</f>
        <v>60</v>
      </c>
      <c r="D17" s="107">
        <v>60</v>
      </c>
      <c r="E17" s="108">
        <v>37</v>
      </c>
      <c r="F17" s="108">
        <v>11</v>
      </c>
      <c r="G17" s="225">
        <f>IF(E17="","",D17/E17)</f>
        <v>1.6216216216216217</v>
      </c>
      <c r="H17" s="110"/>
      <c r="I17" s="111">
        <f>IF(ISBLANK(D17),"",D17/E17+(F17/100))</f>
        <v>1.7316216216216218</v>
      </c>
      <c r="J17" s="112">
        <f>IF(ISBLANK(D17),"",IF(D17&gt;D18,2,IF(D17=D18,1,0)))</f>
        <v>2</v>
      </c>
      <c r="L17" s="178" t="str">
        <f>HLOOKUP($A$3,scenario2,13,FALSE)</f>
        <v>@</v>
      </c>
      <c r="M17" s="106" t="str">
        <f>VLOOKUP($L17,joueurs,2,FALSE)</f>
        <v xml:space="preserve"> </v>
      </c>
      <c r="N17" s="328" t="str">
        <f>HLOOKUP($A$3,TourDeJeu2,36,FALSE)</f>
        <v>-</v>
      </c>
      <c r="O17" s="108"/>
      <c r="P17" s="108"/>
      <c r="Q17" s="108"/>
      <c r="R17" s="109" t="str">
        <f>IF(P17="","",O17/P17)</f>
        <v/>
      </c>
      <c r="S17" s="110"/>
      <c r="T17" s="111" t="str">
        <f>IF(ISBLANK(O17),"",O17/P17+(Q17/100))</f>
        <v/>
      </c>
      <c r="U17" s="112" t="str">
        <f>IF(ISBLANK(O17),"",IF(O17&gt;O18,2,IF(O17=O18,1,0)))</f>
        <v/>
      </c>
      <c r="V17" s="129"/>
      <c r="X17" s="93" t="s">
        <v>103</v>
      </c>
      <c r="Y17" s="105">
        <f>VLOOKUP(Z$2,poule3,4,FALSE)</f>
        <v>36</v>
      </c>
      <c r="Z17" s="101" t="s">
        <v>103</v>
      </c>
      <c r="AA17" s="101">
        <f t="shared" si="17"/>
        <v>36</v>
      </c>
      <c r="AB17" s="102"/>
      <c r="AC17" s="105">
        <f>VLOOKUP(AD$2,poule3,4,FALSE)</f>
        <v>36</v>
      </c>
      <c r="AD17" s="101" t="s">
        <v>103</v>
      </c>
      <c r="AE17" s="101">
        <f t="shared" si="18"/>
        <v>36</v>
      </c>
      <c r="AF17" s="102"/>
      <c r="AG17" s="105" t="e">
        <f>VLOOKUP(AH$2,poule3,4,FALSE)</f>
        <v>#N/A</v>
      </c>
      <c r="AH17" s="101" t="s">
        <v>103</v>
      </c>
      <c r="AI17" s="101">
        <f t="shared" si="19"/>
        <v>0</v>
      </c>
      <c r="AJ17" s="102"/>
      <c r="AK17" s="105">
        <f>VLOOKUP(AL$2,poule3,4,FALSE)</f>
        <v>40</v>
      </c>
      <c r="AL17" s="101" t="s">
        <v>103</v>
      </c>
      <c r="AM17" s="101">
        <f t="shared" si="20"/>
        <v>40</v>
      </c>
      <c r="AN17" s="102"/>
      <c r="AO17" s="105">
        <f>VLOOKUP(AP$2,poule3,4,FALSE)</f>
        <v>40</v>
      </c>
      <c r="AP17" s="101" t="s">
        <v>103</v>
      </c>
      <c r="AQ17" s="101">
        <f t="shared" si="21"/>
        <v>40</v>
      </c>
      <c r="AR17" s="102"/>
      <c r="AS17" s="105" t="e">
        <f>VLOOKUP(AT$2,poule3,4,FALSE)</f>
        <v>#N/A</v>
      </c>
      <c r="AT17" s="101" t="s">
        <v>103</v>
      </c>
      <c r="AU17" s="101">
        <f t="shared" si="22"/>
        <v>0</v>
      </c>
      <c r="AV17" s="102"/>
      <c r="AW17" s="105" t="e">
        <f>VLOOKUP(AX$2,poule3,4,FALSE)</f>
        <v>#N/A</v>
      </c>
      <c r="AX17" s="101" t="s">
        <v>103</v>
      </c>
      <c r="AY17" s="101">
        <f t="shared" si="23"/>
        <v>0</v>
      </c>
      <c r="AZ17" s="102"/>
      <c r="BA17" s="105" t="e">
        <f>VLOOKUP(BB$2,poule3,4,FALSE)</f>
        <v>#N/A</v>
      </c>
      <c r="BB17" s="101" t="s">
        <v>103</v>
      </c>
      <c r="BC17" s="101">
        <f t="shared" si="24"/>
        <v>0</v>
      </c>
      <c r="BD17" s="102"/>
      <c r="BE17" s="105" t="e">
        <f>VLOOKUP(BF$2,poule3,4,FALSE)</f>
        <v>#N/A</v>
      </c>
      <c r="BF17" s="101" t="s">
        <v>103</v>
      </c>
      <c r="BG17" s="101">
        <f t="shared" si="25"/>
        <v>0</v>
      </c>
      <c r="BH17" s="102"/>
      <c r="BI17" s="105" t="e">
        <f>VLOOKUP(BJ$2,poule3,4,FALSE)</f>
        <v>#N/A</v>
      </c>
      <c r="BJ17" s="101" t="s">
        <v>103</v>
      </c>
      <c r="BK17" s="101">
        <f t="shared" si="26"/>
        <v>0</v>
      </c>
      <c r="BL17" s="102"/>
      <c r="BM17" s="105" t="e">
        <f>VLOOKUP(BN$2,poule3,4,FALSE)</f>
        <v>#N/A</v>
      </c>
      <c r="BN17" s="101" t="s">
        <v>103</v>
      </c>
      <c r="BO17" s="101">
        <f t="shared" si="27"/>
        <v>0</v>
      </c>
      <c r="BP17" s="102"/>
      <c r="BQ17" s="105" t="e">
        <f>VLOOKUP(BR$2,poule3,4,FALSE)</f>
        <v>#N/A</v>
      </c>
      <c r="BR17" s="101" t="s">
        <v>103</v>
      </c>
      <c r="BS17" s="101">
        <f t="shared" si="28"/>
        <v>0</v>
      </c>
      <c r="BT17" s="102"/>
      <c r="BU17" s="105" t="e">
        <f>VLOOKUP(BV$2,poule3,4,FALSE)</f>
        <v>#N/A</v>
      </c>
      <c r="BV17" s="101" t="s">
        <v>103</v>
      </c>
      <c r="BW17" s="101">
        <f t="shared" si="29"/>
        <v>0</v>
      </c>
      <c r="BX17" s="102"/>
      <c r="BY17" s="105" t="e">
        <f>VLOOKUP(BZ$2,poule3,4,FALSE)</f>
        <v>#N/A</v>
      </c>
      <c r="BZ17" s="101" t="s">
        <v>103</v>
      </c>
      <c r="CA17" s="101">
        <f t="shared" si="30"/>
        <v>0</v>
      </c>
      <c r="CB17" s="102"/>
      <c r="CC17" s="105" t="e">
        <f>VLOOKUP(CD$2,poule3,4,FALSE)</f>
        <v>#N/A</v>
      </c>
      <c r="CD17" s="101" t="s">
        <v>103</v>
      </c>
      <c r="CE17" s="101">
        <f t="shared" si="31"/>
        <v>0</v>
      </c>
      <c r="CF17" s="102"/>
      <c r="CG17" s="105" t="e">
        <f>VLOOKUP(CH$2,poule3,4,FALSE)</f>
        <v>#N/A</v>
      </c>
      <c r="CH17" s="101" t="s">
        <v>103</v>
      </c>
      <c r="CI17" s="101">
        <f t="shared" si="32"/>
        <v>0</v>
      </c>
      <c r="CJ17" s="102"/>
      <c r="CK17" s="100"/>
      <c r="CL17" s="101"/>
      <c r="CM17" s="101"/>
      <c r="CN17" s="102"/>
      <c r="CO17" s="166"/>
      <c r="CP17" s="166"/>
      <c r="CQ17" s="169" t="s">
        <v>13</v>
      </c>
      <c r="CR17" s="1">
        <v>6</v>
      </c>
      <c r="CS17" s="166"/>
      <c r="CT17" s="166"/>
      <c r="CU17" s="331"/>
      <c r="CV17" s="174" t="s">
        <v>28</v>
      </c>
      <c r="CW17" s="176">
        <v>2</v>
      </c>
      <c r="CX17" s="176">
        <f>EN5</f>
        <v>2</v>
      </c>
      <c r="CY17" s="176">
        <f>EN5</f>
        <v>2</v>
      </c>
      <c r="CZ17" s="176" t="s">
        <v>28</v>
      </c>
      <c r="DA17" s="176"/>
      <c r="DB17" s="176">
        <f>EN5</f>
        <v>2</v>
      </c>
      <c r="DC17" s="176" t="e">
        <f>EO5</f>
        <v>#VALUE!</v>
      </c>
      <c r="DD17" s="176" t="s">
        <v>28</v>
      </c>
      <c r="DE17" s="176" t="s">
        <v>28</v>
      </c>
      <c r="DF17" s="176">
        <f>EN9</f>
        <v>6</v>
      </c>
      <c r="DG17" s="176">
        <f>EN9</f>
        <v>6</v>
      </c>
      <c r="DH17" s="176">
        <v>4</v>
      </c>
      <c r="DI17" s="176">
        <v>4</v>
      </c>
      <c r="DJ17" s="176">
        <v>3</v>
      </c>
      <c r="DK17" s="177">
        <f>EN5</f>
        <v>2</v>
      </c>
      <c r="DL17" s="93"/>
      <c r="DM17" s="174" t="s">
        <v>28</v>
      </c>
      <c r="DN17" s="176" t="s">
        <v>28</v>
      </c>
      <c r="DO17" s="176" t="s">
        <v>28</v>
      </c>
      <c r="DP17" s="176" t="s">
        <v>28</v>
      </c>
      <c r="DQ17" s="176" t="s">
        <v>28</v>
      </c>
      <c r="DR17" s="176"/>
      <c r="DS17" s="176" t="s">
        <v>28</v>
      </c>
      <c r="DT17" s="176" t="s">
        <v>28</v>
      </c>
      <c r="DU17" s="176" t="s">
        <v>28</v>
      </c>
      <c r="DV17" s="176" t="s">
        <v>28</v>
      </c>
      <c r="DW17" s="176" t="s">
        <v>28</v>
      </c>
      <c r="DX17" s="176" t="s">
        <v>28</v>
      </c>
      <c r="DY17" s="176" t="s">
        <v>28</v>
      </c>
      <c r="DZ17" s="176" t="s">
        <v>28</v>
      </c>
      <c r="EA17" s="176" t="s">
        <v>28</v>
      </c>
      <c r="EB17" s="177">
        <f>EO13</f>
        <v>4</v>
      </c>
      <c r="EC17" s="93"/>
      <c r="ED17" s="93"/>
      <c r="EE17" s="93"/>
      <c r="EF17" s="93"/>
      <c r="EG17" s="93"/>
      <c r="EH17" s="93"/>
      <c r="EI17" s="93">
        <v>5</v>
      </c>
      <c r="EJ17" s="93">
        <v>16</v>
      </c>
      <c r="EK17" s="93"/>
      <c r="EL17" s="93"/>
      <c r="EM17" s="93" t="s">
        <v>104</v>
      </c>
      <c r="EN17" s="93">
        <f>VLOOKUP(EM17,EK39:EM41,3,FALSE)</f>
        <v>6</v>
      </c>
      <c r="EO17" s="93">
        <f t="shared" si="16"/>
        <v>6</v>
      </c>
      <c r="EP17" s="93"/>
      <c r="EQ17" s="93"/>
      <c r="ER17" s="93"/>
      <c r="ES17" s="93"/>
      <c r="ET17" s="93"/>
      <c r="EU17" s="93"/>
      <c r="EV17" s="174"/>
      <c r="EW17" s="175"/>
      <c r="EX17" s="175"/>
      <c r="EY17" s="175"/>
      <c r="EZ17" s="175"/>
      <c r="FA17" s="175"/>
      <c r="FB17" s="175"/>
      <c r="FC17" s="175"/>
      <c r="FD17" s="175"/>
      <c r="FE17" s="175"/>
      <c r="FF17" s="175"/>
      <c r="FG17" s="175"/>
      <c r="FH17" s="176"/>
      <c r="FI17" s="176"/>
      <c r="FJ17" s="176"/>
      <c r="FK17" s="176"/>
      <c r="FL17" s="176"/>
      <c r="FM17" s="177"/>
      <c r="FN17" s="166"/>
      <c r="FO17" s="166"/>
      <c r="FP17" s="93"/>
      <c r="FQ17" s="93"/>
      <c r="FR17" s="104"/>
      <c r="FS17" s="104"/>
      <c r="FT17" s="104"/>
      <c r="FU17" s="166"/>
    </row>
    <row r="18" spans="1:177" s="178" customFormat="1" ht="21.95" customHeight="1" thickBot="1" x14ac:dyDescent="0.3">
      <c r="A18" s="178">
        <f>HLOOKUP($A$3,Scenario1,14,FALSE)</f>
        <v>6</v>
      </c>
      <c r="B18" s="106" t="str">
        <f>VLOOKUP($A18,joueurs,2,FALSE)</f>
        <v>GERONIMI THIERRY</v>
      </c>
      <c r="C18" s="329"/>
      <c r="D18" s="107">
        <v>42</v>
      </c>
      <c r="E18" s="114">
        <f>IF(E17="","",E17)</f>
        <v>37</v>
      </c>
      <c r="F18" s="108">
        <v>5</v>
      </c>
      <c r="G18" s="225">
        <f>IF(E18="","",D18/E18)</f>
        <v>1.1351351351351351</v>
      </c>
      <c r="H18" s="115">
        <f>H17</f>
        <v>0</v>
      </c>
      <c r="I18" s="111">
        <f>IF(ISBLANK(D18),"",D18/E18+(F18/100))</f>
        <v>1.1851351351351351</v>
      </c>
      <c r="J18" s="112">
        <f>IF(ISBLANK(D18),"",IF(D18&gt;D17,2,IF(D18=D17,1,0)))</f>
        <v>0</v>
      </c>
      <c r="L18" s="178" t="str">
        <f>HLOOKUP($A$3,scenario2,14,FALSE)</f>
        <v>@</v>
      </c>
      <c r="M18" s="106" t="str">
        <f>VLOOKUP($L18,joueurs,2,FALSE)</f>
        <v xml:space="preserve"> </v>
      </c>
      <c r="N18" s="329"/>
      <c r="O18" s="108"/>
      <c r="P18" s="114" t="str">
        <f>IF(P17="","",P17)</f>
        <v/>
      </c>
      <c r="Q18" s="108"/>
      <c r="R18" s="109" t="str">
        <f>IF(P18="","",O18/P18)</f>
        <v/>
      </c>
      <c r="S18" s="115">
        <f>S17</f>
        <v>0</v>
      </c>
      <c r="T18" s="111" t="str">
        <f>IF(ISBLANK(O18),"",O18/P18+(Q18/100))</f>
        <v/>
      </c>
      <c r="U18" s="112" t="str">
        <f>IF(ISBLANK(O18),"",IF(O18&gt;O17,2,IF(O18=O17,1,0)))</f>
        <v/>
      </c>
      <c r="V18" s="129"/>
      <c r="X18" s="93" t="s">
        <v>105</v>
      </c>
      <c r="Y18" s="100" t="e">
        <f>VLOOKUP(Z$2,poule4,4,FALSE)</f>
        <v>#N/A</v>
      </c>
      <c r="Z18" s="101" t="s">
        <v>105</v>
      </c>
      <c r="AA18" s="101">
        <f t="shared" si="17"/>
        <v>0</v>
      </c>
      <c r="AB18" s="101"/>
      <c r="AC18" s="100" t="e">
        <f>VLOOKUP(AD$2,poule4,4,FALSE)</f>
        <v>#N/A</v>
      </c>
      <c r="AD18" s="101" t="s">
        <v>105</v>
      </c>
      <c r="AE18" s="101">
        <f t="shared" si="18"/>
        <v>0</v>
      </c>
      <c r="AF18" s="101"/>
      <c r="AG18" s="100" t="e">
        <f>VLOOKUP(AH$2,poule4,4,FALSE)</f>
        <v>#N/A</v>
      </c>
      <c r="AH18" s="101" t="s">
        <v>105</v>
      </c>
      <c r="AI18" s="101">
        <f t="shared" si="19"/>
        <v>0</v>
      </c>
      <c r="AJ18" s="101"/>
      <c r="AK18" s="100" t="e">
        <f>VLOOKUP(AL$2,poule4,4,FALSE)</f>
        <v>#N/A</v>
      </c>
      <c r="AL18" s="101" t="s">
        <v>105</v>
      </c>
      <c r="AM18" s="101">
        <f t="shared" si="20"/>
        <v>0</v>
      </c>
      <c r="AN18" s="101"/>
      <c r="AO18" s="100" t="e">
        <f>VLOOKUP(AP$2,poule4,4,FALSE)</f>
        <v>#N/A</v>
      </c>
      <c r="AP18" s="101" t="s">
        <v>105</v>
      </c>
      <c r="AQ18" s="101">
        <f t="shared" si="21"/>
        <v>0</v>
      </c>
      <c r="AR18" s="101"/>
      <c r="AS18" s="100" t="e">
        <f>VLOOKUP(AT$2,poule4,4,FALSE)</f>
        <v>#N/A</v>
      </c>
      <c r="AT18" s="101" t="s">
        <v>105</v>
      </c>
      <c r="AU18" s="101">
        <f t="shared" si="22"/>
        <v>0</v>
      </c>
      <c r="AV18" s="101"/>
      <c r="AW18" s="100" t="e">
        <f>VLOOKUP(AX$2,poule4,4,FALSE)</f>
        <v>#N/A</v>
      </c>
      <c r="AX18" s="101" t="s">
        <v>105</v>
      </c>
      <c r="AY18" s="101">
        <f t="shared" si="23"/>
        <v>0</v>
      </c>
      <c r="AZ18" s="101"/>
      <c r="BA18" s="100" t="e">
        <f>VLOOKUP(BB$2,poule4,4,FALSE)</f>
        <v>#N/A</v>
      </c>
      <c r="BB18" s="101" t="s">
        <v>105</v>
      </c>
      <c r="BC18" s="101">
        <f t="shared" si="24"/>
        <v>0</v>
      </c>
      <c r="BD18" s="101"/>
      <c r="BE18" s="100" t="e">
        <f>VLOOKUP(BF$2,poule4,4,FALSE)</f>
        <v>#N/A</v>
      </c>
      <c r="BF18" s="101" t="s">
        <v>105</v>
      </c>
      <c r="BG18" s="101">
        <f t="shared" si="25"/>
        <v>0</v>
      </c>
      <c r="BH18" s="101"/>
      <c r="BI18" s="100" t="e">
        <f>VLOOKUP(BJ$2,poule4,4,FALSE)</f>
        <v>#N/A</v>
      </c>
      <c r="BJ18" s="101" t="s">
        <v>105</v>
      </c>
      <c r="BK18" s="101">
        <f t="shared" si="26"/>
        <v>0</v>
      </c>
      <c r="BL18" s="101"/>
      <c r="BM18" s="100" t="e">
        <f>VLOOKUP(BN$2,poule4,4,FALSE)</f>
        <v>#N/A</v>
      </c>
      <c r="BN18" s="101" t="s">
        <v>105</v>
      </c>
      <c r="BO18" s="101">
        <f t="shared" si="27"/>
        <v>0</v>
      </c>
      <c r="BP18" s="101"/>
      <c r="BQ18" s="100" t="e">
        <f>VLOOKUP(BR$2,poule4,4,FALSE)</f>
        <v>#N/A</v>
      </c>
      <c r="BR18" s="101" t="s">
        <v>105</v>
      </c>
      <c r="BS18" s="101">
        <f t="shared" si="28"/>
        <v>0</v>
      </c>
      <c r="BT18" s="101"/>
      <c r="BU18" s="100" t="e">
        <f>VLOOKUP(BV$2,poule4,4,FALSE)</f>
        <v>#N/A</v>
      </c>
      <c r="BV18" s="101" t="s">
        <v>105</v>
      </c>
      <c r="BW18" s="101">
        <f t="shared" si="29"/>
        <v>0</v>
      </c>
      <c r="BX18" s="101"/>
      <c r="BY18" s="100" t="e">
        <f>VLOOKUP(BZ$2,poule4,4,FALSE)</f>
        <v>#N/A</v>
      </c>
      <c r="BZ18" s="101" t="s">
        <v>105</v>
      </c>
      <c r="CA18" s="101">
        <f t="shared" si="30"/>
        <v>0</v>
      </c>
      <c r="CB18" s="101"/>
      <c r="CC18" s="100" t="e">
        <f>VLOOKUP(CD$2,poule4,4,FALSE)</f>
        <v>#N/A</v>
      </c>
      <c r="CD18" s="101" t="s">
        <v>105</v>
      </c>
      <c r="CE18" s="101">
        <f t="shared" si="31"/>
        <v>0</v>
      </c>
      <c r="CF18" s="101"/>
      <c r="CG18" s="100" t="e">
        <f>VLOOKUP(CH$2,poule4,4,FALSE)</f>
        <v>#N/A</v>
      </c>
      <c r="CH18" s="101" t="s">
        <v>105</v>
      </c>
      <c r="CI18" s="101">
        <f t="shared" si="32"/>
        <v>0</v>
      </c>
      <c r="CJ18" s="101"/>
      <c r="CK18" s="100"/>
      <c r="CL18" s="101"/>
      <c r="CM18" s="101"/>
      <c r="CN18" s="102"/>
      <c r="CO18" s="166"/>
      <c r="CP18" s="166"/>
      <c r="CQ18" s="169" t="s">
        <v>106</v>
      </c>
      <c r="CR18" s="1" t="s">
        <v>26</v>
      </c>
      <c r="CS18" s="166"/>
      <c r="CT18" s="166"/>
      <c r="CU18" s="331"/>
      <c r="CV18" s="183"/>
      <c r="CW18" s="184"/>
      <c r="CX18" s="184"/>
      <c r="CY18" s="184"/>
      <c r="CZ18" s="184"/>
      <c r="DA18" s="184"/>
      <c r="DB18" s="184"/>
      <c r="DC18" s="184"/>
      <c r="DD18" s="184"/>
      <c r="DE18" s="184"/>
      <c r="DF18" s="184"/>
      <c r="DG18" s="184"/>
      <c r="DH18" s="184"/>
      <c r="DI18" s="184"/>
      <c r="DJ18" s="184"/>
      <c r="DK18" s="185"/>
      <c r="DL18" s="166"/>
      <c r="DM18" s="183"/>
      <c r="DN18" s="184"/>
      <c r="DO18" s="184"/>
      <c r="DP18" s="184"/>
      <c r="DQ18" s="184"/>
      <c r="DR18" s="184"/>
      <c r="DS18" s="184"/>
      <c r="DT18" s="184"/>
      <c r="DU18" s="184"/>
      <c r="DV18" s="184"/>
      <c r="DW18" s="184"/>
      <c r="DX18" s="184"/>
      <c r="DY18" s="184"/>
      <c r="DZ18" s="184"/>
      <c r="EA18" s="184"/>
      <c r="EB18" s="185"/>
      <c r="EC18" s="166"/>
      <c r="ED18" s="166"/>
      <c r="EE18" s="166"/>
      <c r="EF18" s="166"/>
      <c r="EG18" s="166"/>
      <c r="EH18" s="166"/>
      <c r="EI18" s="93">
        <v>6</v>
      </c>
      <c r="EJ18" s="93">
        <v>17</v>
      </c>
      <c r="EK18" s="93"/>
      <c r="EL18" s="93"/>
      <c r="EM18" s="93"/>
      <c r="EN18" s="93"/>
      <c r="EO18" s="93"/>
      <c r="EP18" s="93"/>
      <c r="EQ18" s="93"/>
      <c r="ER18" s="93"/>
      <c r="ES18" s="93"/>
      <c r="ET18" s="93"/>
      <c r="EU18" s="93"/>
      <c r="EV18" s="179"/>
      <c r="EW18" s="180"/>
      <c r="EX18" s="180"/>
      <c r="EY18" s="180"/>
      <c r="EZ18" s="180"/>
      <c r="FA18" s="180"/>
      <c r="FB18" s="180"/>
      <c r="FC18" s="180"/>
      <c r="FD18" s="180"/>
      <c r="FE18" s="180"/>
      <c r="FF18" s="180"/>
      <c r="FG18" s="180"/>
      <c r="FH18" s="181"/>
      <c r="FI18" s="181"/>
      <c r="FJ18" s="181"/>
      <c r="FK18" s="181"/>
      <c r="FL18" s="181"/>
      <c r="FM18" s="182"/>
      <c r="FN18" s="166"/>
      <c r="FO18" s="166"/>
      <c r="FP18" s="93"/>
      <c r="FQ18" s="93"/>
      <c r="FR18" s="104"/>
      <c r="FS18" s="104"/>
      <c r="FT18" s="104"/>
      <c r="FU18" s="166"/>
    </row>
    <row r="19" spans="1:177" s="178" customFormat="1" ht="21.95" customHeight="1" x14ac:dyDescent="0.25">
      <c r="B19" s="188"/>
      <c r="C19" s="188"/>
      <c r="D19" s="187"/>
      <c r="G19" s="227"/>
      <c r="X19" s="93" t="s">
        <v>107</v>
      </c>
      <c r="Y19" s="100" t="e">
        <f>VLOOKUP(Z$2,poule5,4,FALSE)</f>
        <v>#N/A</v>
      </c>
      <c r="Z19" s="101" t="s">
        <v>107</v>
      </c>
      <c r="AA19" s="101">
        <f t="shared" si="17"/>
        <v>0</v>
      </c>
      <c r="AB19" s="101"/>
      <c r="AC19" s="100" t="e">
        <f>VLOOKUP(AD$2,poule5,4,FALSE)</f>
        <v>#N/A</v>
      </c>
      <c r="AD19" s="101" t="s">
        <v>107</v>
      </c>
      <c r="AE19" s="101">
        <f t="shared" si="18"/>
        <v>0</v>
      </c>
      <c r="AF19" s="101"/>
      <c r="AG19" s="100" t="e">
        <f>VLOOKUP(AH$2,poule5,4,FALSE)</f>
        <v>#N/A</v>
      </c>
      <c r="AH19" s="101" t="s">
        <v>107</v>
      </c>
      <c r="AI19" s="101">
        <f t="shared" si="19"/>
        <v>0</v>
      </c>
      <c r="AJ19" s="101"/>
      <c r="AK19" s="100" t="e">
        <f>VLOOKUP(AL$2,poule5,4,FALSE)</f>
        <v>#N/A</v>
      </c>
      <c r="AL19" s="101" t="s">
        <v>107</v>
      </c>
      <c r="AM19" s="101">
        <f t="shared" si="20"/>
        <v>0</v>
      </c>
      <c r="AN19" s="101"/>
      <c r="AO19" s="100" t="e">
        <f>VLOOKUP(AP$2,poule5,4,FALSE)</f>
        <v>#N/A</v>
      </c>
      <c r="AP19" s="101" t="s">
        <v>107</v>
      </c>
      <c r="AQ19" s="101">
        <f t="shared" si="21"/>
        <v>0</v>
      </c>
      <c r="AR19" s="101"/>
      <c r="AS19" s="100" t="e">
        <f>VLOOKUP(AT$2,poule5,4,FALSE)</f>
        <v>#N/A</v>
      </c>
      <c r="AT19" s="101" t="s">
        <v>107</v>
      </c>
      <c r="AU19" s="101">
        <f t="shared" si="22"/>
        <v>0</v>
      </c>
      <c r="AV19" s="101"/>
      <c r="AW19" s="100" t="e">
        <f>VLOOKUP(AX$2,poule5,4,FALSE)</f>
        <v>#N/A</v>
      </c>
      <c r="AX19" s="101" t="s">
        <v>107</v>
      </c>
      <c r="AY19" s="101">
        <f t="shared" si="23"/>
        <v>0</v>
      </c>
      <c r="AZ19" s="101"/>
      <c r="BA19" s="100" t="e">
        <f>VLOOKUP(BB$2,poule5,4,FALSE)</f>
        <v>#N/A</v>
      </c>
      <c r="BB19" s="101" t="s">
        <v>107</v>
      </c>
      <c r="BC19" s="101">
        <f t="shared" si="24"/>
        <v>0</v>
      </c>
      <c r="BD19" s="101"/>
      <c r="BE19" s="100" t="e">
        <f>VLOOKUP(BF$2,poule5,4,FALSE)</f>
        <v>#N/A</v>
      </c>
      <c r="BF19" s="101" t="s">
        <v>107</v>
      </c>
      <c r="BG19" s="101">
        <f t="shared" si="25"/>
        <v>0</v>
      </c>
      <c r="BH19" s="101"/>
      <c r="BI19" s="100" t="e">
        <f>VLOOKUP(BJ$2,poule5,4,FALSE)</f>
        <v>#N/A</v>
      </c>
      <c r="BJ19" s="101" t="s">
        <v>107</v>
      </c>
      <c r="BK19" s="101">
        <f t="shared" si="26"/>
        <v>0</v>
      </c>
      <c r="BL19" s="101"/>
      <c r="BM19" s="100" t="e">
        <f>VLOOKUP(BN$2,poule5,4,FALSE)</f>
        <v>#N/A</v>
      </c>
      <c r="BN19" s="101" t="s">
        <v>107</v>
      </c>
      <c r="BO19" s="101">
        <f t="shared" si="27"/>
        <v>0</v>
      </c>
      <c r="BP19" s="101"/>
      <c r="BQ19" s="100" t="e">
        <f>VLOOKUP(BR$2,poule5,4,FALSE)</f>
        <v>#N/A</v>
      </c>
      <c r="BR19" s="101" t="s">
        <v>107</v>
      </c>
      <c r="BS19" s="101">
        <f t="shared" si="28"/>
        <v>0</v>
      </c>
      <c r="BT19" s="101"/>
      <c r="BU19" s="100" t="e">
        <f>VLOOKUP(BV$2,poule5,4,FALSE)</f>
        <v>#N/A</v>
      </c>
      <c r="BV19" s="101" t="s">
        <v>107</v>
      </c>
      <c r="BW19" s="101">
        <f t="shared" si="29"/>
        <v>0</v>
      </c>
      <c r="BX19" s="101"/>
      <c r="BY19" s="100" t="e">
        <f>VLOOKUP(BZ$2,poule5,4,FALSE)</f>
        <v>#N/A</v>
      </c>
      <c r="BZ19" s="101" t="s">
        <v>107</v>
      </c>
      <c r="CA19" s="101">
        <f t="shared" si="30"/>
        <v>0</v>
      </c>
      <c r="CB19" s="101"/>
      <c r="CC19" s="100" t="e">
        <f>VLOOKUP(CD$2,poule5,4,FALSE)</f>
        <v>#N/A</v>
      </c>
      <c r="CD19" s="101" t="s">
        <v>107</v>
      </c>
      <c r="CE19" s="101">
        <f t="shared" si="31"/>
        <v>0</v>
      </c>
      <c r="CF19" s="101"/>
      <c r="CG19" s="100" t="e">
        <f>VLOOKUP(CH$2,poule5,4,FALSE)</f>
        <v>#N/A</v>
      </c>
      <c r="CH19" s="101" t="s">
        <v>107</v>
      </c>
      <c r="CI19" s="101">
        <f t="shared" si="32"/>
        <v>0</v>
      </c>
      <c r="CJ19" s="101"/>
      <c r="CK19" s="100"/>
      <c r="CL19" s="101"/>
      <c r="CM19" s="101"/>
      <c r="CN19" s="102"/>
      <c r="CO19" s="166"/>
      <c r="CP19" s="166"/>
      <c r="CQ19" s="166"/>
      <c r="CR19" s="166"/>
      <c r="CS19" s="166"/>
      <c r="CT19" s="166"/>
      <c r="CU19" s="331"/>
      <c r="CV19" s="174" t="s">
        <v>28</v>
      </c>
      <c r="CW19" s="176" t="s">
        <v>28</v>
      </c>
      <c r="CX19" s="176" t="s">
        <v>28</v>
      </c>
      <c r="CY19" s="176">
        <v>4</v>
      </c>
      <c r="CZ19" s="176" t="s">
        <v>28</v>
      </c>
      <c r="DA19" s="176"/>
      <c r="DB19" s="176" t="s">
        <v>28</v>
      </c>
      <c r="DC19" s="176" t="s">
        <v>28</v>
      </c>
      <c r="DD19" s="176" t="s">
        <v>28</v>
      </c>
      <c r="DE19" s="176" t="s">
        <v>28</v>
      </c>
      <c r="DF19" s="176">
        <f>EN8</f>
        <v>5</v>
      </c>
      <c r="DG19" s="176">
        <f>EN8</f>
        <v>5</v>
      </c>
      <c r="DH19" s="176" t="s">
        <v>28</v>
      </c>
      <c r="DI19" s="176">
        <v>3</v>
      </c>
      <c r="DJ19" s="176">
        <v>4</v>
      </c>
      <c r="DK19" s="177">
        <v>2</v>
      </c>
      <c r="DL19" s="93"/>
      <c r="DM19" s="174" t="s">
        <v>28</v>
      </c>
      <c r="DN19" s="176" t="s">
        <v>28</v>
      </c>
      <c r="DO19" s="176" t="s">
        <v>28</v>
      </c>
      <c r="DP19" s="176" t="s">
        <v>28</v>
      </c>
      <c r="DQ19" s="176" t="s">
        <v>28</v>
      </c>
      <c r="DR19" s="176"/>
      <c r="DS19" s="176" t="s">
        <v>28</v>
      </c>
      <c r="DT19" s="176" t="s">
        <v>28</v>
      </c>
      <c r="DU19" s="176" t="s">
        <v>28</v>
      </c>
      <c r="DV19" s="176" t="s">
        <v>28</v>
      </c>
      <c r="DW19" s="176" t="s">
        <v>28</v>
      </c>
      <c r="DX19" s="176" t="s">
        <v>28</v>
      </c>
      <c r="DY19" s="176" t="s">
        <v>28</v>
      </c>
      <c r="DZ19" s="176" t="s">
        <v>28</v>
      </c>
      <c r="EA19" s="176" t="s">
        <v>28</v>
      </c>
      <c r="EB19" s="176" t="s">
        <v>28</v>
      </c>
      <c r="EC19" s="93"/>
      <c r="ED19" s="93"/>
      <c r="EE19" s="93"/>
      <c r="EF19" s="93"/>
      <c r="EG19" s="93"/>
      <c r="EH19" s="93"/>
      <c r="EI19" s="93">
        <v>7</v>
      </c>
      <c r="EJ19" s="93">
        <v>18</v>
      </c>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166"/>
      <c r="FO19" s="166"/>
      <c r="FP19" s="93"/>
      <c r="FQ19" s="93"/>
      <c r="FR19" s="104"/>
      <c r="FS19" s="104"/>
      <c r="FT19" s="104"/>
      <c r="FU19" s="166"/>
    </row>
    <row r="20" spans="1:177" s="178" customFormat="1" ht="21.95" customHeight="1" thickBot="1" x14ac:dyDescent="0.3">
      <c r="B20" s="188"/>
      <c r="C20" s="188"/>
      <c r="D20" s="187"/>
      <c r="G20" s="227"/>
      <c r="M20" s="188"/>
      <c r="N20" s="188"/>
      <c r="S20" s="187"/>
      <c r="X20" s="93" t="s">
        <v>108</v>
      </c>
      <c r="Y20" s="100" t="e">
        <f>VLOOKUP(Z$2,Poule6,4,FALSE)</f>
        <v>#N/A</v>
      </c>
      <c r="Z20" s="101" t="s">
        <v>108</v>
      </c>
      <c r="AA20" s="101">
        <f t="shared" si="17"/>
        <v>0</v>
      </c>
      <c r="AB20" s="101"/>
      <c r="AC20" s="100" t="e">
        <f>VLOOKUP(AD$2,Poule6,4,FALSE)</f>
        <v>#N/A</v>
      </c>
      <c r="AD20" s="101" t="s">
        <v>108</v>
      </c>
      <c r="AE20" s="101">
        <f t="shared" si="18"/>
        <v>0</v>
      </c>
      <c r="AF20" s="101"/>
      <c r="AG20" s="100" t="e">
        <f>VLOOKUP(AH$2,Poule6,4,FALSE)</f>
        <v>#N/A</v>
      </c>
      <c r="AH20" s="101" t="s">
        <v>108</v>
      </c>
      <c r="AI20" s="101">
        <f t="shared" si="19"/>
        <v>0</v>
      </c>
      <c r="AJ20" s="101"/>
      <c r="AK20" s="100" t="e">
        <f>VLOOKUP(AL$2,Poule6,4,FALSE)</f>
        <v>#N/A</v>
      </c>
      <c r="AL20" s="101" t="s">
        <v>108</v>
      </c>
      <c r="AM20" s="101">
        <f t="shared" si="20"/>
        <v>0</v>
      </c>
      <c r="AN20" s="101"/>
      <c r="AO20" s="100" t="e">
        <f>VLOOKUP(AP$2,Poule6,4,FALSE)</f>
        <v>#N/A</v>
      </c>
      <c r="AP20" s="101" t="s">
        <v>108</v>
      </c>
      <c r="AQ20" s="101">
        <f t="shared" si="21"/>
        <v>0</v>
      </c>
      <c r="AR20" s="101"/>
      <c r="AS20" s="100" t="e">
        <f>VLOOKUP(AT$2,Poule6,4,FALSE)</f>
        <v>#N/A</v>
      </c>
      <c r="AT20" s="101" t="s">
        <v>108</v>
      </c>
      <c r="AU20" s="101">
        <f t="shared" si="22"/>
        <v>0</v>
      </c>
      <c r="AV20" s="101"/>
      <c r="AW20" s="100" t="e">
        <f>VLOOKUP(AX$2,Poule6,4,FALSE)</f>
        <v>#N/A</v>
      </c>
      <c r="AX20" s="101" t="s">
        <v>108</v>
      </c>
      <c r="AY20" s="101">
        <f t="shared" si="23"/>
        <v>0</v>
      </c>
      <c r="AZ20" s="101"/>
      <c r="BA20" s="100" t="e">
        <f>VLOOKUP(BB$2,Poule6,4,FALSE)</f>
        <v>#N/A</v>
      </c>
      <c r="BB20" s="101" t="s">
        <v>108</v>
      </c>
      <c r="BC20" s="101">
        <f t="shared" si="24"/>
        <v>0</v>
      </c>
      <c r="BD20" s="101"/>
      <c r="BE20" s="100" t="e">
        <f>VLOOKUP(BF$2,Poule6,4,FALSE)</f>
        <v>#N/A</v>
      </c>
      <c r="BF20" s="101" t="s">
        <v>108</v>
      </c>
      <c r="BG20" s="101">
        <f t="shared" si="25"/>
        <v>0</v>
      </c>
      <c r="BH20" s="101"/>
      <c r="BI20" s="100" t="e">
        <f>VLOOKUP(BJ$2,Poule6,4,FALSE)</f>
        <v>#N/A</v>
      </c>
      <c r="BJ20" s="101" t="s">
        <v>108</v>
      </c>
      <c r="BK20" s="101">
        <f t="shared" si="26"/>
        <v>0</v>
      </c>
      <c r="BL20" s="101"/>
      <c r="BM20" s="100" t="e">
        <f>VLOOKUP(BN$2,Poule6,4,FALSE)</f>
        <v>#N/A</v>
      </c>
      <c r="BN20" s="101" t="s">
        <v>108</v>
      </c>
      <c r="BO20" s="101">
        <f t="shared" si="27"/>
        <v>0</v>
      </c>
      <c r="BP20" s="101"/>
      <c r="BQ20" s="100" t="e">
        <f>VLOOKUP(BR$2,Poule6,4,FALSE)</f>
        <v>#N/A</v>
      </c>
      <c r="BR20" s="101" t="s">
        <v>108</v>
      </c>
      <c r="BS20" s="101">
        <f t="shared" si="28"/>
        <v>0</v>
      </c>
      <c r="BT20" s="101"/>
      <c r="BU20" s="100" t="e">
        <f>VLOOKUP(BV$2,Poule6,4,FALSE)</f>
        <v>#N/A</v>
      </c>
      <c r="BV20" s="101" t="s">
        <v>108</v>
      </c>
      <c r="BW20" s="101">
        <f t="shared" si="29"/>
        <v>0</v>
      </c>
      <c r="BX20" s="101"/>
      <c r="BY20" s="100" t="e">
        <f>VLOOKUP(BZ$2,Poule6,4,FALSE)</f>
        <v>#N/A</v>
      </c>
      <c r="BZ20" s="101" t="s">
        <v>108</v>
      </c>
      <c r="CA20" s="101">
        <f t="shared" si="30"/>
        <v>0</v>
      </c>
      <c r="CB20" s="101"/>
      <c r="CC20" s="100" t="e">
        <f>VLOOKUP(CD$2,Poule6,4,FALSE)</f>
        <v>#N/A</v>
      </c>
      <c r="CD20" s="101" t="s">
        <v>108</v>
      </c>
      <c r="CE20" s="101">
        <f t="shared" si="31"/>
        <v>0</v>
      </c>
      <c r="CF20" s="101"/>
      <c r="CG20" s="100" t="e">
        <f>VLOOKUP(CH$2,Poule6,4,FALSE)</f>
        <v>#N/A</v>
      </c>
      <c r="CH20" s="101" t="s">
        <v>108</v>
      </c>
      <c r="CI20" s="101">
        <f t="shared" si="32"/>
        <v>0</v>
      </c>
      <c r="CJ20" s="101"/>
      <c r="CK20" s="100"/>
      <c r="CL20" s="101"/>
      <c r="CM20" s="101"/>
      <c r="CN20" s="102"/>
      <c r="CO20" s="166"/>
      <c r="CP20" s="166"/>
      <c r="CQ20" s="166"/>
      <c r="CR20" s="166"/>
      <c r="CS20" s="166"/>
      <c r="CT20" s="166"/>
      <c r="CU20" s="331"/>
      <c r="CV20" s="179" t="s">
        <v>28</v>
      </c>
      <c r="CW20" s="181" t="s">
        <v>28</v>
      </c>
      <c r="CX20" s="181" t="s">
        <v>28</v>
      </c>
      <c r="CY20" s="181">
        <f>EN8</f>
        <v>5</v>
      </c>
      <c r="CZ20" s="181" t="s">
        <v>28</v>
      </c>
      <c r="DA20" s="181"/>
      <c r="DB20" s="181" t="s">
        <v>28</v>
      </c>
      <c r="DC20" s="181" t="s">
        <v>28</v>
      </c>
      <c r="DD20" s="181" t="s">
        <v>28</v>
      </c>
      <c r="DE20" s="181" t="s">
        <v>28</v>
      </c>
      <c r="DF20" s="181">
        <f>EN6</f>
        <v>3</v>
      </c>
      <c r="DG20" s="181">
        <f>EN6</f>
        <v>3</v>
      </c>
      <c r="DH20" s="181" t="s">
        <v>28</v>
      </c>
      <c r="DI20" s="181">
        <v>5</v>
      </c>
      <c r="DJ20" s="181">
        <v>6</v>
      </c>
      <c r="DK20" s="182">
        <f>EN8</f>
        <v>5</v>
      </c>
      <c r="DL20" s="93"/>
      <c r="DM20" s="179" t="s">
        <v>28</v>
      </c>
      <c r="DN20" s="181" t="s">
        <v>28</v>
      </c>
      <c r="DO20" s="181" t="s">
        <v>28</v>
      </c>
      <c r="DP20" s="181" t="s">
        <v>28</v>
      </c>
      <c r="DQ20" s="181" t="s">
        <v>28</v>
      </c>
      <c r="DR20" s="181"/>
      <c r="DS20" s="181" t="s">
        <v>28</v>
      </c>
      <c r="DT20" s="181" t="s">
        <v>28</v>
      </c>
      <c r="DU20" s="181" t="s">
        <v>28</v>
      </c>
      <c r="DV20" s="181" t="s">
        <v>28</v>
      </c>
      <c r="DW20" s="181" t="s">
        <v>28</v>
      </c>
      <c r="DX20" s="181" t="s">
        <v>28</v>
      </c>
      <c r="DY20" s="181" t="s">
        <v>28</v>
      </c>
      <c r="DZ20" s="181" t="s">
        <v>28</v>
      </c>
      <c r="EA20" s="181" t="s">
        <v>28</v>
      </c>
      <c r="EB20" s="181" t="s">
        <v>28</v>
      </c>
      <c r="EC20" s="93"/>
      <c r="ED20" s="93"/>
      <c r="EE20" s="93"/>
      <c r="EF20" s="93"/>
      <c r="EG20" s="93"/>
      <c r="EH20" s="93"/>
      <c r="EJ20" s="93">
        <v>19</v>
      </c>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166"/>
      <c r="FO20" s="166"/>
      <c r="FP20" s="93"/>
      <c r="FQ20" s="93"/>
      <c r="FR20" s="104"/>
      <c r="FS20" s="104"/>
      <c r="FT20" s="104"/>
      <c r="FU20" s="166"/>
    </row>
    <row r="21" spans="1:177" s="178" customFormat="1" ht="21.95" customHeight="1" x14ac:dyDescent="0.25">
      <c r="B21" s="325" t="str">
        <f>HLOOKUP($A$3,TourDeJeu,29,FALSE)</f>
        <v>Tour n°3</v>
      </c>
      <c r="C21" s="326"/>
      <c r="D21" s="326"/>
      <c r="E21" s="326"/>
      <c r="F21" s="326"/>
      <c r="G21" s="326"/>
      <c r="H21" s="326"/>
      <c r="I21" s="326"/>
      <c r="J21" s="327"/>
      <c r="K21" s="96"/>
      <c r="L21" s="325" t="str">
        <f>HLOOKUP($A$3,TourDeJeu2,29,FALSE)</f>
        <v>-</v>
      </c>
      <c r="M21" s="326"/>
      <c r="N21" s="326"/>
      <c r="O21" s="326"/>
      <c r="P21" s="326"/>
      <c r="Q21" s="326"/>
      <c r="R21" s="326"/>
      <c r="S21" s="326"/>
      <c r="T21" s="326"/>
      <c r="U21" s="326"/>
      <c r="V21" s="327"/>
      <c r="X21" s="93" t="s">
        <v>109</v>
      </c>
      <c r="Y21" s="100"/>
      <c r="Z21" s="127" t="s">
        <v>109</v>
      </c>
      <c r="AA21" s="130">
        <f>SUM(AA15:AA20)</f>
        <v>74</v>
      </c>
      <c r="AB21" s="101"/>
      <c r="AC21" s="100"/>
      <c r="AD21" s="127" t="s">
        <v>109</v>
      </c>
      <c r="AE21" s="130">
        <f>SUM(AE15:AE20)</f>
        <v>76</v>
      </c>
      <c r="AF21" s="101"/>
      <c r="AG21" s="100"/>
      <c r="AH21" s="127" t="s">
        <v>109</v>
      </c>
      <c r="AI21" s="130">
        <f>SUM(AI15:AI20)</f>
        <v>78</v>
      </c>
      <c r="AJ21" s="101"/>
      <c r="AK21" s="100"/>
      <c r="AL21" s="127" t="s">
        <v>109</v>
      </c>
      <c r="AM21" s="130">
        <f>SUM(AM15:AM20)</f>
        <v>77</v>
      </c>
      <c r="AN21" s="101"/>
      <c r="AO21" s="100"/>
      <c r="AP21" s="127" t="s">
        <v>109</v>
      </c>
      <c r="AQ21" s="130">
        <f>SUM(AQ15:AQ20)</f>
        <v>77</v>
      </c>
      <c r="AR21" s="101"/>
      <c r="AS21" s="100"/>
      <c r="AT21" s="127" t="s">
        <v>109</v>
      </c>
      <c r="AU21" s="130">
        <f>SUM(AU15:AU20)</f>
        <v>74</v>
      </c>
      <c r="AV21" s="101"/>
      <c r="AW21" s="100"/>
      <c r="AX21" s="127" t="s">
        <v>109</v>
      </c>
      <c r="AY21" s="130">
        <f>SUM(AY15:AY20)</f>
        <v>0</v>
      </c>
      <c r="AZ21" s="101"/>
      <c r="BA21" s="100"/>
      <c r="BB21" s="127" t="s">
        <v>109</v>
      </c>
      <c r="BC21" s="130">
        <f>SUM(BC15:BC20)</f>
        <v>0</v>
      </c>
      <c r="BD21" s="101"/>
      <c r="BE21" s="100"/>
      <c r="BF21" s="127" t="s">
        <v>109</v>
      </c>
      <c r="BG21" s="130">
        <f>SUM(BG15:BG20)</f>
        <v>0</v>
      </c>
      <c r="BH21" s="101"/>
      <c r="BI21" s="100"/>
      <c r="BJ21" s="127" t="s">
        <v>109</v>
      </c>
      <c r="BK21" s="130">
        <f>SUM(BK15:BK20)</f>
        <v>0</v>
      </c>
      <c r="BL21" s="101"/>
      <c r="BM21" s="100"/>
      <c r="BN21" s="127" t="s">
        <v>109</v>
      </c>
      <c r="BO21" s="130">
        <f>SUM(BO15:BO20)</f>
        <v>0</v>
      </c>
      <c r="BP21" s="101"/>
      <c r="BQ21" s="100"/>
      <c r="BR21" s="127" t="s">
        <v>109</v>
      </c>
      <c r="BS21" s="130">
        <f>SUM(BS15:BS20)</f>
        <v>0</v>
      </c>
      <c r="BT21" s="101"/>
      <c r="BU21" s="100"/>
      <c r="BV21" s="127" t="s">
        <v>109</v>
      </c>
      <c r="BW21" s="130">
        <f>SUM(BW15:BW20)</f>
        <v>0</v>
      </c>
      <c r="BX21" s="101"/>
      <c r="BY21" s="100"/>
      <c r="BZ21" s="127" t="s">
        <v>109</v>
      </c>
      <c r="CA21" s="130">
        <f>SUM(CA15:CA20)</f>
        <v>0</v>
      </c>
      <c r="CB21" s="101"/>
      <c r="CC21" s="100"/>
      <c r="CD21" s="127" t="s">
        <v>109</v>
      </c>
      <c r="CE21" s="130">
        <f>SUM(CE15:CE20)</f>
        <v>0</v>
      </c>
      <c r="CF21" s="101"/>
      <c r="CG21" s="100"/>
      <c r="CH21" s="127" t="s">
        <v>109</v>
      </c>
      <c r="CI21" s="130">
        <f>SUM(CI15:CI20)</f>
        <v>0</v>
      </c>
      <c r="CJ21" s="101"/>
      <c r="CK21" s="100"/>
      <c r="CL21" s="101"/>
      <c r="CM21" s="101"/>
      <c r="CN21" s="102"/>
      <c r="CO21" s="166"/>
      <c r="CP21" s="166"/>
      <c r="CQ21" s="166"/>
      <c r="CR21" s="166"/>
      <c r="CS21" s="166"/>
      <c r="CT21" s="166"/>
      <c r="CU21" s="131" t="s">
        <v>110</v>
      </c>
      <c r="CV21" s="170" t="s">
        <v>28</v>
      </c>
      <c r="CW21" s="172" t="s">
        <v>28</v>
      </c>
      <c r="CX21" s="172" t="s">
        <v>28</v>
      </c>
      <c r="CY21" s="172" t="s">
        <v>28</v>
      </c>
      <c r="CZ21" s="172" t="s">
        <v>28</v>
      </c>
      <c r="DA21" s="172"/>
      <c r="DB21" s="172" t="s">
        <v>28</v>
      </c>
      <c r="DC21" s="172" t="s">
        <v>28</v>
      </c>
      <c r="DD21" s="172" t="s">
        <v>28</v>
      </c>
      <c r="DE21" s="172">
        <v>5</v>
      </c>
      <c r="DF21" s="172" t="s">
        <v>28</v>
      </c>
      <c r="DG21" s="172" t="s">
        <v>28</v>
      </c>
      <c r="DH21" s="172" t="s">
        <v>28</v>
      </c>
      <c r="DI21" s="172">
        <v>2</v>
      </c>
      <c r="DJ21" s="172" t="s">
        <v>28</v>
      </c>
      <c r="DK21" s="173" t="s">
        <v>28</v>
      </c>
      <c r="DL21" s="93"/>
      <c r="DM21" s="170" t="s">
        <v>28</v>
      </c>
      <c r="DN21" s="172" t="s">
        <v>28</v>
      </c>
      <c r="DO21" s="172" t="s">
        <v>28</v>
      </c>
      <c r="DP21" s="172" t="s">
        <v>28</v>
      </c>
      <c r="DQ21" s="172" t="s">
        <v>28</v>
      </c>
      <c r="DR21" s="172"/>
      <c r="DS21" s="172" t="s">
        <v>28</v>
      </c>
      <c r="DT21" s="172" t="s">
        <v>28</v>
      </c>
      <c r="DU21" s="172" t="s">
        <v>28</v>
      </c>
      <c r="DV21" s="172" t="s">
        <v>28</v>
      </c>
      <c r="DW21" s="172" t="s">
        <v>28</v>
      </c>
      <c r="DX21" s="172" t="s">
        <v>28</v>
      </c>
      <c r="DY21" s="172" t="s">
        <v>28</v>
      </c>
      <c r="DZ21" s="172" t="s">
        <v>28</v>
      </c>
      <c r="EA21" s="172" t="s">
        <v>28</v>
      </c>
      <c r="EB21" s="172" t="s">
        <v>28</v>
      </c>
      <c r="EC21" s="93"/>
      <c r="ED21" s="93"/>
      <c r="EE21" s="93"/>
      <c r="EF21" s="93"/>
      <c r="EG21" s="93"/>
      <c r="EH21" s="93"/>
      <c r="EJ21" s="93">
        <v>20</v>
      </c>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166"/>
      <c r="FO21" s="166"/>
      <c r="FP21" s="93"/>
      <c r="FQ21" s="93"/>
      <c r="FR21" s="104"/>
      <c r="FS21" s="104"/>
      <c r="FT21" s="104"/>
      <c r="FU21" s="166"/>
    </row>
    <row r="22" spans="1:177" s="178" customFormat="1" ht="21.95" customHeight="1" x14ac:dyDescent="0.25">
      <c r="B22" s="42" t="s">
        <v>68</v>
      </c>
      <c r="C22" s="42" t="s">
        <v>15</v>
      </c>
      <c r="D22" s="189" t="s">
        <v>57</v>
      </c>
      <c r="E22" s="42" t="s">
        <v>69</v>
      </c>
      <c r="F22" s="42" t="s">
        <v>70</v>
      </c>
      <c r="G22" s="81" t="s">
        <v>71</v>
      </c>
      <c r="H22" s="42" t="s">
        <v>72</v>
      </c>
      <c r="I22" s="42"/>
      <c r="J22" s="42" t="s">
        <v>73</v>
      </c>
      <c r="L22" s="49"/>
      <c r="M22" s="42" t="s">
        <v>68</v>
      </c>
      <c r="N22" s="42" t="s">
        <v>15</v>
      </c>
      <c r="O22" s="189" t="s">
        <v>57</v>
      </c>
      <c r="P22" s="42" t="s">
        <v>69</v>
      </c>
      <c r="Q22" s="42" t="s">
        <v>70</v>
      </c>
      <c r="R22" s="42" t="s">
        <v>71</v>
      </c>
      <c r="S22" s="42" t="s">
        <v>72</v>
      </c>
      <c r="T22" s="42"/>
      <c r="U22" s="42" t="s">
        <v>73</v>
      </c>
      <c r="V22" s="42" t="s">
        <v>111</v>
      </c>
      <c r="X22" s="93"/>
      <c r="Y22" s="100"/>
      <c r="Z22" s="101"/>
      <c r="AA22" s="101"/>
      <c r="AB22" s="101"/>
      <c r="AC22" s="100"/>
      <c r="AD22" s="101"/>
      <c r="AE22" s="101"/>
      <c r="AF22" s="101"/>
      <c r="AG22" s="100"/>
      <c r="AH22" s="101"/>
      <c r="AI22" s="101"/>
      <c r="AJ22" s="101"/>
      <c r="AK22" s="100"/>
      <c r="AL22" s="101"/>
      <c r="AM22" s="101"/>
      <c r="AN22" s="101"/>
      <c r="AO22" s="100"/>
      <c r="AP22" s="101"/>
      <c r="AQ22" s="101"/>
      <c r="AR22" s="101"/>
      <c r="AS22" s="100"/>
      <c r="AT22" s="101"/>
      <c r="AU22" s="101"/>
      <c r="AV22" s="101"/>
      <c r="AW22" s="100"/>
      <c r="AX22" s="101"/>
      <c r="AY22" s="101"/>
      <c r="AZ22" s="101"/>
      <c r="BA22" s="100"/>
      <c r="BB22" s="101"/>
      <c r="BC22" s="101"/>
      <c r="BD22" s="101"/>
      <c r="BE22" s="100"/>
      <c r="BF22" s="101"/>
      <c r="BG22" s="101"/>
      <c r="BH22" s="101"/>
      <c r="BI22" s="100"/>
      <c r="BJ22" s="101"/>
      <c r="BK22" s="101"/>
      <c r="BL22" s="101"/>
      <c r="BM22" s="100"/>
      <c r="BN22" s="101"/>
      <c r="BO22" s="101"/>
      <c r="BP22" s="101"/>
      <c r="BQ22" s="100"/>
      <c r="BR22" s="101"/>
      <c r="BS22" s="101"/>
      <c r="BT22" s="101"/>
      <c r="BU22" s="100"/>
      <c r="BV22" s="101"/>
      <c r="BW22" s="101"/>
      <c r="BX22" s="101"/>
      <c r="BY22" s="100"/>
      <c r="BZ22" s="101"/>
      <c r="CA22" s="101"/>
      <c r="CB22" s="101"/>
      <c r="CC22" s="100"/>
      <c r="CD22" s="101"/>
      <c r="CE22" s="101"/>
      <c r="CF22" s="101"/>
      <c r="CG22" s="100"/>
      <c r="CH22" s="101"/>
      <c r="CI22" s="101"/>
      <c r="CJ22" s="101"/>
      <c r="CK22" s="100"/>
      <c r="CL22" s="101"/>
      <c r="CM22" s="101"/>
      <c r="CN22" s="102"/>
      <c r="CO22" s="166"/>
      <c r="CP22" s="166"/>
      <c r="CQ22" s="166"/>
      <c r="CR22" s="166"/>
      <c r="CS22" s="166"/>
      <c r="CT22" s="166"/>
      <c r="CU22" s="131"/>
      <c r="CV22" s="174" t="s">
        <v>28</v>
      </c>
      <c r="CW22" s="176" t="s">
        <v>28</v>
      </c>
      <c r="CX22" s="176" t="s">
        <v>28</v>
      </c>
      <c r="CY22" s="176" t="s">
        <v>28</v>
      </c>
      <c r="CZ22" s="176" t="s">
        <v>28</v>
      </c>
      <c r="DA22" s="176"/>
      <c r="DB22" s="176" t="s">
        <v>28</v>
      </c>
      <c r="DC22" s="176" t="s">
        <v>28</v>
      </c>
      <c r="DD22" s="176" t="s">
        <v>28</v>
      </c>
      <c r="DE22" s="176">
        <v>8</v>
      </c>
      <c r="DF22" s="176" t="s">
        <v>28</v>
      </c>
      <c r="DG22" s="176" t="s">
        <v>28</v>
      </c>
      <c r="DH22" s="176" t="s">
        <v>28</v>
      </c>
      <c r="DI22" s="176">
        <v>4</v>
      </c>
      <c r="DJ22" s="176" t="s">
        <v>28</v>
      </c>
      <c r="DK22" s="177" t="s">
        <v>28</v>
      </c>
      <c r="DL22" s="93"/>
      <c r="DM22" s="174" t="s">
        <v>28</v>
      </c>
      <c r="DN22" s="176" t="s">
        <v>28</v>
      </c>
      <c r="DO22" s="176" t="s">
        <v>28</v>
      </c>
      <c r="DP22" s="176" t="s">
        <v>28</v>
      </c>
      <c r="DQ22" s="176" t="s">
        <v>28</v>
      </c>
      <c r="DR22" s="176"/>
      <c r="DS22" s="176" t="s">
        <v>28</v>
      </c>
      <c r="DT22" s="176" t="s">
        <v>28</v>
      </c>
      <c r="DU22" s="176" t="s">
        <v>28</v>
      </c>
      <c r="DV22" s="176" t="s">
        <v>28</v>
      </c>
      <c r="DW22" s="176" t="s">
        <v>28</v>
      </c>
      <c r="DX22" s="176" t="s">
        <v>28</v>
      </c>
      <c r="DY22" s="176" t="s">
        <v>28</v>
      </c>
      <c r="DZ22" s="176" t="s">
        <v>28</v>
      </c>
      <c r="EA22" s="176" t="s">
        <v>28</v>
      </c>
      <c r="EB22" s="176" t="s">
        <v>28</v>
      </c>
      <c r="EC22" s="93"/>
      <c r="ED22" s="93"/>
      <c r="EE22" s="93"/>
      <c r="EF22" s="93"/>
      <c r="EG22" s="93"/>
      <c r="EH22" s="93"/>
      <c r="EJ22" s="93">
        <v>21</v>
      </c>
      <c r="EK22" s="93"/>
      <c r="EL22" s="93"/>
      <c r="EM22" s="93"/>
      <c r="EN22" s="93"/>
      <c r="EO22" s="93"/>
      <c r="EP22" s="93"/>
      <c r="EQ22" s="93"/>
      <c r="ER22" s="93"/>
      <c r="ES22" s="93"/>
      <c r="ET22" s="93"/>
      <c r="EU22" s="93"/>
      <c r="EV22" s="93"/>
      <c r="EW22" s="93"/>
      <c r="EX22" s="93"/>
      <c r="EY22" s="93"/>
      <c r="EZ22" s="93"/>
      <c r="FA22" s="93"/>
      <c r="FB22" s="93"/>
      <c r="FC22" s="93"/>
      <c r="FD22" s="93"/>
      <c r="FE22" s="93"/>
      <c r="FF22" s="93"/>
      <c r="FG22" s="93"/>
      <c r="FH22" s="93"/>
      <c r="FI22" s="93"/>
      <c r="FJ22" s="93"/>
      <c r="FK22" s="93"/>
      <c r="FL22" s="93"/>
      <c r="FM22" s="93"/>
      <c r="FN22" s="166"/>
      <c r="FO22" s="166"/>
      <c r="FP22" s="93"/>
      <c r="FQ22" s="166"/>
      <c r="FR22" s="166"/>
      <c r="FS22" s="166"/>
      <c r="FT22" s="166"/>
      <c r="FU22" s="166"/>
    </row>
    <row r="23" spans="1:177" ht="21.95" customHeight="1" x14ac:dyDescent="0.25">
      <c r="A23" s="178">
        <f>HLOOKUP($A$3,Scenario1,15,FALSE)</f>
        <v>1</v>
      </c>
      <c r="B23" s="106" t="s">
        <v>572</v>
      </c>
      <c r="C23" s="328">
        <f>HLOOKUP($A$3,TourDeJeu,37,FALSE)</f>
        <v>60</v>
      </c>
      <c r="D23" s="107">
        <v>49</v>
      </c>
      <c r="E23" s="108">
        <v>36</v>
      </c>
      <c r="F23" s="108">
        <v>7</v>
      </c>
      <c r="G23" s="225">
        <f>IF(E23="","",D23/E23)</f>
        <v>1.3611111111111112</v>
      </c>
      <c r="H23" s="110"/>
      <c r="I23" s="111">
        <f>IF(ISBLANK(D23),"",D23/E23+(F23/100))</f>
        <v>1.4311111111111112</v>
      </c>
      <c r="J23" s="112">
        <f>IF(ISBLANK(D23),"",IF(D23&gt;D24,2,IF(D23=D24,1,0)))</f>
        <v>0</v>
      </c>
      <c r="K23" s="178"/>
      <c r="L23" s="178" t="str">
        <f>HLOOKUP($A$3,scenario2,15,FALSE)</f>
        <v>@</v>
      </c>
      <c r="M23" s="106" t="str">
        <f>VLOOKUP($L23,joueurs,2,FALSE)</f>
        <v xml:space="preserve"> </v>
      </c>
      <c r="N23" s="328" t="str">
        <f>HLOOKUP($A$3,TourDeJeu2,37,FALSE)</f>
        <v>-</v>
      </c>
      <c r="O23" s="108"/>
      <c r="P23" s="108"/>
      <c r="Q23" s="108"/>
      <c r="R23" s="109" t="str">
        <f>IF(P23="","",O23/P23)</f>
        <v/>
      </c>
      <c r="S23" s="110"/>
      <c r="T23" s="111" t="str">
        <f>IF(ISBLANK(O23),"",O23/P23+(Q23/100))</f>
        <v/>
      </c>
      <c r="U23" s="112" t="str">
        <f>IF(ISBLANK(O23),"",IF(O23&gt;O24,2,IF(O23=O24,1,0)))</f>
        <v/>
      </c>
      <c r="V23" s="112"/>
      <c r="W23" s="113"/>
      <c r="X23" s="93" t="s">
        <v>112</v>
      </c>
      <c r="Y23" s="100">
        <f>VLOOKUP(Z$2,Poule1,9,FALSE)</f>
        <v>2</v>
      </c>
      <c r="Z23" s="101" t="s">
        <v>112</v>
      </c>
      <c r="AA23" s="101">
        <f t="shared" ref="AA23:AA28" si="33">IF(ISERROR(Y23),0,Y23)</f>
        <v>2</v>
      </c>
      <c r="AB23" s="101"/>
      <c r="AC23" s="100" t="e">
        <f>VLOOKUP(AD$2,Poule1,9,FALSE)</f>
        <v>#N/A</v>
      </c>
      <c r="AD23" s="101" t="s">
        <v>112</v>
      </c>
      <c r="AE23" s="101">
        <f t="shared" ref="AE23:AE28" si="34">IF(ISERROR(AC23),0,AC23)</f>
        <v>0</v>
      </c>
      <c r="AF23" s="101"/>
      <c r="AG23" s="100">
        <f>VLOOKUP(AH$2,Poule1,9,FALSE)</f>
        <v>0</v>
      </c>
      <c r="AH23" s="101" t="s">
        <v>112</v>
      </c>
      <c r="AI23" s="101">
        <f t="shared" ref="AI23:AI28" si="35">IF(ISERROR(AG23),0,AG23)</f>
        <v>0</v>
      </c>
      <c r="AJ23" s="101"/>
      <c r="AK23" s="100" t="e">
        <f>VLOOKUP(AL$2,Poule1,9,FALSE)</f>
        <v>#N/A</v>
      </c>
      <c r="AL23" s="101" t="s">
        <v>112</v>
      </c>
      <c r="AM23" s="101">
        <f t="shared" ref="AM23:AM28" si="36">IF(ISERROR(AK23),0,AK23)</f>
        <v>0</v>
      </c>
      <c r="AN23" s="101"/>
      <c r="AO23" s="100">
        <f>VLOOKUP(AP$2,Poule1,9,FALSE)</f>
        <v>2</v>
      </c>
      <c r="AP23" s="101" t="s">
        <v>112</v>
      </c>
      <c r="AQ23" s="101">
        <f t="shared" ref="AQ23:AQ28" si="37">IF(ISERROR(AO23),0,AO23)</f>
        <v>2</v>
      </c>
      <c r="AR23" s="101"/>
      <c r="AS23" s="100">
        <f>VLOOKUP(AT$2,Poule1,9,FALSE)</f>
        <v>0</v>
      </c>
      <c r="AT23" s="101" t="s">
        <v>112</v>
      </c>
      <c r="AU23" s="101">
        <f t="shared" ref="AU23:AU28" si="38">IF(ISERROR(AS23),0,AS23)</f>
        <v>0</v>
      </c>
      <c r="AV23" s="101"/>
      <c r="AW23" s="100" t="e">
        <f>VLOOKUP(AX$2,Poule1,9,FALSE)</f>
        <v>#N/A</v>
      </c>
      <c r="AX23" s="101" t="s">
        <v>112</v>
      </c>
      <c r="AY23" s="101">
        <f t="shared" ref="AY23:AY28" si="39">IF(ISERROR(AW23),0,AW23)</f>
        <v>0</v>
      </c>
      <c r="AZ23" s="101"/>
      <c r="BA23" s="100" t="e">
        <f>VLOOKUP(BB$2,Poule1,9,FALSE)</f>
        <v>#N/A</v>
      </c>
      <c r="BB23" s="101" t="s">
        <v>112</v>
      </c>
      <c r="BC23" s="101">
        <f t="shared" ref="BC23:BC28" si="40">IF(ISERROR(BA23),0,BA23)</f>
        <v>0</v>
      </c>
      <c r="BD23" s="101"/>
      <c r="BE23" s="100" t="e">
        <f>VLOOKUP(BF$2,Poule1,9,FALSE)</f>
        <v>#N/A</v>
      </c>
      <c r="BF23" s="101" t="s">
        <v>112</v>
      </c>
      <c r="BG23" s="101">
        <f t="shared" ref="BG23:BG28" si="41">IF(ISERROR(BE23),0,BE23)</f>
        <v>0</v>
      </c>
      <c r="BH23" s="101"/>
      <c r="BI23" s="100" t="e">
        <f>VLOOKUP(BJ$2,Poule1,9,FALSE)</f>
        <v>#N/A</v>
      </c>
      <c r="BJ23" s="101" t="s">
        <v>112</v>
      </c>
      <c r="BK23" s="101">
        <f t="shared" ref="BK23:BK28" si="42">IF(ISERROR(BI23),0,BI23)</f>
        <v>0</v>
      </c>
      <c r="BL23" s="101"/>
      <c r="BM23" s="100" t="e">
        <f>VLOOKUP(BN$2,Poule1,9,FALSE)</f>
        <v>#N/A</v>
      </c>
      <c r="BN23" s="101" t="s">
        <v>112</v>
      </c>
      <c r="BO23" s="101">
        <f t="shared" ref="BO23:BO28" si="43">IF(ISERROR(BM23),0,BM23)</f>
        <v>0</v>
      </c>
      <c r="BP23" s="101"/>
      <c r="BQ23" s="100" t="e">
        <f>VLOOKUP(BR$2,Poule1,9,FALSE)</f>
        <v>#N/A</v>
      </c>
      <c r="BR23" s="101" t="s">
        <v>112</v>
      </c>
      <c r="BS23" s="101">
        <f t="shared" ref="BS23:BS28" si="44">IF(ISERROR(BQ23),0,BQ23)</f>
        <v>0</v>
      </c>
      <c r="BT23" s="101"/>
      <c r="BU23" s="100" t="e">
        <f>VLOOKUP(BV$2,Poule1,9,FALSE)</f>
        <v>#N/A</v>
      </c>
      <c r="BV23" s="101" t="s">
        <v>112</v>
      </c>
      <c r="BW23" s="101">
        <f t="shared" ref="BW23:BW28" si="45">IF(ISERROR(BU23),0,BU23)</f>
        <v>0</v>
      </c>
      <c r="BX23" s="101"/>
      <c r="BY23" s="100" t="e">
        <f>VLOOKUP(BZ$2,Poule1,9,FALSE)</f>
        <v>#N/A</v>
      </c>
      <c r="BZ23" s="101" t="s">
        <v>112</v>
      </c>
      <c r="CA23" s="101">
        <f t="shared" ref="CA23:CA28" si="46">IF(ISERROR(BY23),0,BY23)</f>
        <v>0</v>
      </c>
      <c r="CB23" s="101"/>
      <c r="CC23" s="100" t="e">
        <f>VLOOKUP(CD$2,Poule1,9,FALSE)</f>
        <v>#N/A</v>
      </c>
      <c r="CD23" s="101" t="s">
        <v>112</v>
      </c>
      <c r="CE23" s="101">
        <f t="shared" ref="CE23:CE28" si="47">IF(ISERROR(CC23),0,CC23)</f>
        <v>0</v>
      </c>
      <c r="CF23" s="101"/>
      <c r="CG23" s="100" t="e">
        <f>VLOOKUP(CH$2,Poule1,9,FALSE)</f>
        <v>#N/A</v>
      </c>
      <c r="CH23" s="101" t="s">
        <v>112</v>
      </c>
      <c r="CI23" s="101">
        <f t="shared" ref="CI23:CI28" si="48">IF(ISERROR(CG23),0,CG23)</f>
        <v>0</v>
      </c>
      <c r="CJ23" s="101"/>
      <c r="CK23" s="100"/>
      <c r="CL23" s="101"/>
      <c r="CM23" s="101"/>
      <c r="CN23" s="102"/>
      <c r="CV23" s="183"/>
      <c r="CW23" s="184"/>
      <c r="CX23" s="184"/>
      <c r="CY23" s="184"/>
      <c r="CZ23" s="184"/>
      <c r="DA23" s="184"/>
      <c r="DB23" s="184"/>
      <c r="DC23" s="184"/>
      <c r="DD23" s="184"/>
      <c r="DE23" s="184"/>
      <c r="DF23" s="184"/>
      <c r="DG23" s="184"/>
      <c r="DH23" s="184"/>
      <c r="DI23" s="184"/>
      <c r="DJ23" s="184"/>
      <c r="DK23" s="185"/>
      <c r="DM23" s="183"/>
      <c r="DN23" s="184"/>
      <c r="DO23" s="184"/>
      <c r="DP23" s="184"/>
      <c r="DQ23" s="184"/>
      <c r="DR23" s="184"/>
      <c r="DS23" s="184"/>
      <c r="DT23" s="184"/>
      <c r="DU23" s="184"/>
      <c r="DV23" s="184"/>
      <c r="DW23" s="184"/>
      <c r="DX23" s="184"/>
      <c r="DY23" s="184"/>
      <c r="DZ23" s="184"/>
      <c r="EA23" s="184"/>
      <c r="EB23" s="185"/>
      <c r="EJ23" s="93">
        <v>22</v>
      </c>
      <c r="EL23" s="93"/>
      <c r="EM23" s="93"/>
      <c r="EN23" s="93"/>
      <c r="EV23" s="93"/>
      <c r="EW23" s="93"/>
      <c r="EX23" s="93"/>
      <c r="EY23" s="93"/>
      <c r="EZ23" s="93"/>
      <c r="FA23" s="93"/>
      <c r="FB23" s="93"/>
      <c r="FC23" s="93"/>
      <c r="FD23" s="93"/>
      <c r="FE23" s="93"/>
      <c r="FF23" s="93"/>
      <c r="FG23" s="93"/>
      <c r="FH23" s="93"/>
      <c r="FI23" s="93"/>
      <c r="FJ23" s="93"/>
      <c r="FK23" s="93"/>
      <c r="FL23" s="93"/>
      <c r="FM23" s="93"/>
      <c r="FN23" s="93"/>
      <c r="FO23" s="166"/>
      <c r="FP23" s="166"/>
      <c r="FQ23" s="104"/>
      <c r="FR23" s="166"/>
      <c r="FS23" s="166"/>
      <c r="FT23" s="166"/>
      <c r="FU23" s="166"/>
    </row>
    <row r="24" spans="1:177" ht="21.95" customHeight="1" x14ac:dyDescent="0.25">
      <c r="A24" s="178">
        <f>HLOOKUP($A$3,Scenario1,16,FALSE)</f>
        <v>2</v>
      </c>
      <c r="B24" s="106" t="s">
        <v>748</v>
      </c>
      <c r="C24" s="329"/>
      <c r="D24" s="107">
        <v>60</v>
      </c>
      <c r="E24" s="114">
        <f>IF(E23="","",E23)</f>
        <v>36</v>
      </c>
      <c r="F24" s="108">
        <v>5</v>
      </c>
      <c r="G24" s="225">
        <f>IF(E24="","",D24/E24)</f>
        <v>1.6666666666666667</v>
      </c>
      <c r="H24" s="115">
        <f>H23</f>
        <v>0</v>
      </c>
      <c r="I24" s="111">
        <f>IF(ISBLANK(D24),"",D24/E24+(F24/100))</f>
        <v>1.7166666666666668</v>
      </c>
      <c r="J24" s="112">
        <f>IF(ISBLANK(D24),"",IF(D24&gt;D23,2,IF(D24=D23,1,0)))</f>
        <v>2</v>
      </c>
      <c r="K24" s="178"/>
      <c r="L24" s="178" t="str">
        <f>HLOOKUP($A$3,scenario2,16,FALSE)</f>
        <v>@</v>
      </c>
      <c r="M24" s="106" t="str">
        <f>VLOOKUP($L24,joueurs,2,FALSE)</f>
        <v xml:space="preserve"> </v>
      </c>
      <c r="N24" s="329"/>
      <c r="O24" s="108"/>
      <c r="P24" s="114" t="str">
        <f>IF(P23="","",P23)</f>
        <v/>
      </c>
      <c r="Q24" s="108"/>
      <c r="R24" s="109" t="str">
        <f>IF(P24="","",O24/P24)</f>
        <v/>
      </c>
      <c r="S24" s="115">
        <f>S23</f>
        <v>0</v>
      </c>
      <c r="T24" s="111" t="str">
        <f>IF(ISBLANK(O24),"",O24/P24+(Q24/100))</f>
        <v/>
      </c>
      <c r="U24" s="112" t="str">
        <f>IF(ISBLANK(O24),"",IF(O24&gt;O23,2,IF(O24=O23,1,0)))</f>
        <v/>
      </c>
      <c r="V24" s="112"/>
      <c r="W24" s="113"/>
      <c r="X24" s="93" t="s">
        <v>113</v>
      </c>
      <c r="Y24" s="100" t="e">
        <f>VLOOKUP(Z$2,poule2,9,FALSE)</f>
        <v>#N/A</v>
      </c>
      <c r="Z24" s="101" t="s">
        <v>113</v>
      </c>
      <c r="AA24" s="101">
        <f t="shared" si="33"/>
        <v>0</v>
      </c>
      <c r="AB24" s="101"/>
      <c r="AC24" s="100">
        <f>VLOOKUP(AD$2,poule2,9,FALSE)</f>
        <v>2</v>
      </c>
      <c r="AD24" s="101" t="s">
        <v>113</v>
      </c>
      <c r="AE24" s="101">
        <f t="shared" si="34"/>
        <v>2</v>
      </c>
      <c r="AF24" s="101"/>
      <c r="AG24" s="100">
        <f>VLOOKUP(AH$2,poule2,9,FALSE)</f>
        <v>0</v>
      </c>
      <c r="AH24" s="101" t="s">
        <v>113</v>
      </c>
      <c r="AI24" s="101">
        <f t="shared" si="35"/>
        <v>0</v>
      </c>
      <c r="AJ24" s="101"/>
      <c r="AK24" s="100">
        <f>VLOOKUP(AL$2,poule2,9,FALSE)</f>
        <v>2</v>
      </c>
      <c r="AL24" s="101" t="s">
        <v>113</v>
      </c>
      <c r="AM24" s="101">
        <f t="shared" si="36"/>
        <v>2</v>
      </c>
      <c r="AN24" s="101"/>
      <c r="AO24" s="100" t="e">
        <f>VLOOKUP(AP$2,poule2,9,FALSE)</f>
        <v>#N/A</v>
      </c>
      <c r="AP24" s="101" t="s">
        <v>113</v>
      </c>
      <c r="AQ24" s="101">
        <f t="shared" si="37"/>
        <v>0</v>
      </c>
      <c r="AR24" s="101"/>
      <c r="AS24" s="100">
        <f>VLOOKUP(AT$2,poule2,9,FALSE)</f>
        <v>0</v>
      </c>
      <c r="AT24" s="101" t="s">
        <v>113</v>
      </c>
      <c r="AU24" s="101">
        <f t="shared" si="38"/>
        <v>0</v>
      </c>
      <c r="AV24" s="101"/>
      <c r="AW24" s="100" t="e">
        <f>VLOOKUP(AX$2,poule2,9,FALSE)</f>
        <v>#N/A</v>
      </c>
      <c r="AX24" s="101" t="s">
        <v>113</v>
      </c>
      <c r="AY24" s="101">
        <f t="shared" si="39"/>
        <v>0</v>
      </c>
      <c r="AZ24" s="101"/>
      <c r="BA24" s="100" t="e">
        <f>VLOOKUP(BB$2,poule2,9,FALSE)</f>
        <v>#N/A</v>
      </c>
      <c r="BB24" s="101" t="s">
        <v>113</v>
      </c>
      <c r="BC24" s="101">
        <f t="shared" si="40"/>
        <v>0</v>
      </c>
      <c r="BD24" s="101"/>
      <c r="BE24" s="100" t="e">
        <f>VLOOKUP(BF$2,poule2,9,FALSE)</f>
        <v>#N/A</v>
      </c>
      <c r="BF24" s="101" t="s">
        <v>113</v>
      </c>
      <c r="BG24" s="101">
        <f t="shared" si="41"/>
        <v>0</v>
      </c>
      <c r="BH24" s="101"/>
      <c r="BI24" s="100" t="e">
        <f>VLOOKUP(BJ$2,poule2,9,FALSE)</f>
        <v>#N/A</v>
      </c>
      <c r="BJ24" s="101" t="s">
        <v>113</v>
      </c>
      <c r="BK24" s="101">
        <f t="shared" si="42"/>
        <v>0</v>
      </c>
      <c r="BL24" s="101"/>
      <c r="BM24" s="100" t="e">
        <f>VLOOKUP(BN$2,poule2,9,FALSE)</f>
        <v>#N/A</v>
      </c>
      <c r="BN24" s="101" t="s">
        <v>113</v>
      </c>
      <c r="BO24" s="101">
        <f t="shared" si="43"/>
        <v>0</v>
      </c>
      <c r="BP24" s="101"/>
      <c r="BQ24" s="100" t="e">
        <f>VLOOKUP(BR$2,poule2,9,FALSE)</f>
        <v>#N/A</v>
      </c>
      <c r="BR24" s="101" t="s">
        <v>113</v>
      </c>
      <c r="BS24" s="101">
        <f t="shared" si="44"/>
        <v>0</v>
      </c>
      <c r="BT24" s="101"/>
      <c r="BU24" s="100" t="e">
        <f>VLOOKUP(BV$2,poule2,9,FALSE)</f>
        <v>#N/A</v>
      </c>
      <c r="BV24" s="101" t="s">
        <v>113</v>
      </c>
      <c r="BW24" s="101">
        <f t="shared" si="45"/>
        <v>0</v>
      </c>
      <c r="BX24" s="101"/>
      <c r="BY24" s="100" t="e">
        <f>VLOOKUP(BZ$2,poule2,9,FALSE)</f>
        <v>#N/A</v>
      </c>
      <c r="BZ24" s="101" t="s">
        <v>113</v>
      </c>
      <c r="CA24" s="101">
        <f t="shared" si="46"/>
        <v>0</v>
      </c>
      <c r="CB24" s="101"/>
      <c r="CC24" s="100" t="e">
        <f>VLOOKUP(CD$2,poule2,9,FALSE)</f>
        <v>#N/A</v>
      </c>
      <c r="CD24" s="101" t="s">
        <v>113</v>
      </c>
      <c r="CE24" s="101">
        <f t="shared" si="47"/>
        <v>0</v>
      </c>
      <c r="CF24" s="101"/>
      <c r="CG24" s="100" t="e">
        <f>VLOOKUP(CH$2,poule2,9,FALSE)</f>
        <v>#N/A</v>
      </c>
      <c r="CH24" s="101" t="s">
        <v>113</v>
      </c>
      <c r="CI24" s="101">
        <f t="shared" si="48"/>
        <v>0</v>
      </c>
      <c r="CJ24" s="101"/>
      <c r="CK24" s="100"/>
      <c r="CL24" s="101"/>
      <c r="CM24" s="101"/>
      <c r="CN24" s="102"/>
      <c r="CV24" s="174" t="s">
        <v>28</v>
      </c>
      <c r="CW24" s="176" t="s">
        <v>28</v>
      </c>
      <c r="CX24" s="176" t="s">
        <v>28</v>
      </c>
      <c r="CY24" s="176" t="s">
        <v>28</v>
      </c>
      <c r="CZ24" s="176" t="s">
        <v>28</v>
      </c>
      <c r="DA24" s="176"/>
      <c r="DB24" s="176" t="s">
        <v>28</v>
      </c>
      <c r="DC24" s="176" t="s">
        <v>28</v>
      </c>
      <c r="DD24" s="176" t="s">
        <v>28</v>
      </c>
      <c r="DE24" s="176">
        <v>6</v>
      </c>
      <c r="DF24" s="176" t="s">
        <v>28</v>
      </c>
      <c r="DG24" s="176" t="s">
        <v>28</v>
      </c>
      <c r="DH24" s="176" t="s">
        <v>28</v>
      </c>
      <c r="DI24" s="176">
        <v>1</v>
      </c>
      <c r="DJ24" s="176" t="s">
        <v>28</v>
      </c>
      <c r="DK24" s="177" t="s">
        <v>28</v>
      </c>
      <c r="DL24" s="93"/>
      <c r="DM24" s="174" t="s">
        <v>28</v>
      </c>
      <c r="DN24" s="176" t="s">
        <v>28</v>
      </c>
      <c r="DO24" s="176" t="s">
        <v>28</v>
      </c>
      <c r="DP24" s="176" t="s">
        <v>28</v>
      </c>
      <c r="DQ24" s="176" t="s">
        <v>28</v>
      </c>
      <c r="DR24" s="176"/>
      <c r="DS24" s="176" t="s">
        <v>28</v>
      </c>
      <c r="DT24" s="176" t="s">
        <v>28</v>
      </c>
      <c r="DU24" s="176" t="s">
        <v>28</v>
      </c>
      <c r="DV24" s="176" t="s">
        <v>28</v>
      </c>
      <c r="DW24" s="176" t="s">
        <v>28</v>
      </c>
      <c r="DX24" s="176" t="s">
        <v>28</v>
      </c>
      <c r="DY24" s="176" t="s">
        <v>28</v>
      </c>
      <c r="DZ24" s="176" t="s">
        <v>28</v>
      </c>
      <c r="EA24" s="176" t="s">
        <v>28</v>
      </c>
      <c r="EB24" s="177"/>
      <c r="EC24" s="93"/>
      <c r="ED24" s="93"/>
      <c r="EE24" s="93"/>
      <c r="EF24" s="93"/>
      <c r="EG24" s="93"/>
      <c r="EH24" s="93"/>
      <c r="EJ24" s="93">
        <v>23</v>
      </c>
      <c r="EW24" s="93"/>
      <c r="EX24" s="93"/>
      <c r="EY24" s="93"/>
      <c r="EZ24" s="93"/>
      <c r="FA24" s="93"/>
      <c r="FB24" s="93"/>
      <c r="FC24" s="93"/>
      <c r="FD24" s="93"/>
      <c r="FE24" s="93"/>
      <c r="FF24" s="93"/>
      <c r="FG24" s="93"/>
      <c r="FH24" s="93"/>
      <c r="FI24" s="93"/>
      <c r="FJ24" s="93"/>
      <c r="FK24" s="93"/>
      <c r="FL24" s="93"/>
      <c r="FM24" s="93"/>
      <c r="FN24" s="93"/>
      <c r="FO24" s="166"/>
      <c r="FP24" s="166"/>
      <c r="FQ24" s="104"/>
      <c r="FR24" s="166"/>
      <c r="FS24" s="166"/>
      <c r="FT24" s="166"/>
      <c r="FU24" s="166"/>
    </row>
    <row r="25" spans="1:177" ht="21.95" customHeight="1" thickBot="1" x14ac:dyDescent="0.3">
      <c r="A25" s="178"/>
      <c r="B25" s="42" t="s">
        <v>68</v>
      </c>
      <c r="C25" s="42" t="s">
        <v>15</v>
      </c>
      <c r="D25" s="189" t="s">
        <v>57</v>
      </c>
      <c r="E25" s="42" t="s">
        <v>69</v>
      </c>
      <c r="F25" s="42" t="s">
        <v>70</v>
      </c>
      <c r="G25" s="81" t="s">
        <v>71</v>
      </c>
      <c r="H25" s="42" t="s">
        <v>72</v>
      </c>
      <c r="I25" s="42"/>
      <c r="J25" s="42" t="s">
        <v>73</v>
      </c>
      <c r="K25" s="178"/>
      <c r="V25" s="178"/>
      <c r="X25" s="93" t="s">
        <v>114</v>
      </c>
      <c r="Y25" s="105">
        <f>VLOOKUP(Z$2,poule3,9,FALSE)</f>
        <v>2</v>
      </c>
      <c r="Z25" s="101" t="s">
        <v>114</v>
      </c>
      <c r="AA25" s="101">
        <f t="shared" si="33"/>
        <v>2</v>
      </c>
      <c r="AB25" s="101"/>
      <c r="AC25" s="105">
        <f>VLOOKUP(AD$2,poule3,9,FALSE)</f>
        <v>0</v>
      </c>
      <c r="AD25" s="101" t="s">
        <v>114</v>
      </c>
      <c r="AE25" s="101">
        <f t="shared" si="34"/>
        <v>0</v>
      </c>
      <c r="AF25" s="101"/>
      <c r="AG25" s="105" t="e">
        <f>VLOOKUP(AH$2,poule3,9,FALSE)</f>
        <v>#N/A</v>
      </c>
      <c r="AH25" s="101" t="s">
        <v>114</v>
      </c>
      <c r="AI25" s="101">
        <f t="shared" si="35"/>
        <v>0</v>
      </c>
      <c r="AJ25" s="101"/>
      <c r="AK25" s="105">
        <f>VLOOKUP(AL$2,poule3,9,FALSE)</f>
        <v>2</v>
      </c>
      <c r="AL25" s="101" t="s">
        <v>114</v>
      </c>
      <c r="AM25" s="101">
        <f t="shared" si="36"/>
        <v>2</v>
      </c>
      <c r="AN25" s="101"/>
      <c r="AO25" s="105">
        <f>VLOOKUP(AP$2,poule3,9,FALSE)</f>
        <v>0</v>
      </c>
      <c r="AP25" s="101" t="s">
        <v>114</v>
      </c>
      <c r="AQ25" s="101">
        <f t="shared" si="37"/>
        <v>0</v>
      </c>
      <c r="AR25" s="101"/>
      <c r="AS25" s="105" t="e">
        <f>VLOOKUP(AT$2,poule3,9,FALSE)</f>
        <v>#N/A</v>
      </c>
      <c r="AT25" s="101" t="s">
        <v>114</v>
      </c>
      <c r="AU25" s="101">
        <f t="shared" si="38"/>
        <v>0</v>
      </c>
      <c r="AV25" s="101"/>
      <c r="AW25" s="105" t="e">
        <f>VLOOKUP(AX$2,poule3,9,FALSE)</f>
        <v>#N/A</v>
      </c>
      <c r="AX25" s="101" t="s">
        <v>114</v>
      </c>
      <c r="AY25" s="101">
        <f t="shared" si="39"/>
        <v>0</v>
      </c>
      <c r="AZ25" s="101"/>
      <c r="BA25" s="105" t="e">
        <f>VLOOKUP(BB$2,poule3,9,FALSE)</f>
        <v>#N/A</v>
      </c>
      <c r="BB25" s="101" t="s">
        <v>114</v>
      </c>
      <c r="BC25" s="101">
        <f t="shared" si="40"/>
        <v>0</v>
      </c>
      <c r="BD25" s="101"/>
      <c r="BE25" s="105" t="e">
        <f>VLOOKUP(BF$2,poule3,9,FALSE)</f>
        <v>#N/A</v>
      </c>
      <c r="BF25" s="101" t="s">
        <v>114</v>
      </c>
      <c r="BG25" s="101">
        <f t="shared" si="41"/>
        <v>0</v>
      </c>
      <c r="BH25" s="101"/>
      <c r="BI25" s="105" t="e">
        <f>VLOOKUP(BJ$2,poule3,9,FALSE)</f>
        <v>#N/A</v>
      </c>
      <c r="BJ25" s="101" t="s">
        <v>114</v>
      </c>
      <c r="BK25" s="101">
        <f t="shared" si="42"/>
        <v>0</v>
      </c>
      <c r="BL25" s="101"/>
      <c r="BM25" s="105" t="e">
        <f>VLOOKUP(BN$2,poule3,9,FALSE)</f>
        <v>#N/A</v>
      </c>
      <c r="BN25" s="101" t="s">
        <v>114</v>
      </c>
      <c r="BO25" s="101">
        <f t="shared" si="43"/>
        <v>0</v>
      </c>
      <c r="BP25" s="101"/>
      <c r="BQ25" s="105" t="e">
        <f>VLOOKUP(BR$2,poule3,9,FALSE)</f>
        <v>#N/A</v>
      </c>
      <c r="BR25" s="101" t="s">
        <v>114</v>
      </c>
      <c r="BS25" s="101">
        <f t="shared" si="44"/>
        <v>0</v>
      </c>
      <c r="BT25" s="101"/>
      <c r="BU25" s="105" t="e">
        <f>VLOOKUP(BV$2,poule3,9,FALSE)</f>
        <v>#N/A</v>
      </c>
      <c r="BV25" s="101" t="s">
        <v>114</v>
      </c>
      <c r="BW25" s="101">
        <f t="shared" si="45"/>
        <v>0</v>
      </c>
      <c r="BX25" s="101"/>
      <c r="BY25" s="105" t="e">
        <f>VLOOKUP(BZ$2,poule3,9,FALSE)</f>
        <v>#N/A</v>
      </c>
      <c r="BZ25" s="101" t="s">
        <v>114</v>
      </c>
      <c r="CA25" s="101">
        <f t="shared" si="46"/>
        <v>0</v>
      </c>
      <c r="CB25" s="101"/>
      <c r="CC25" s="105" t="e">
        <f>VLOOKUP(CD$2,poule3,9,FALSE)</f>
        <v>#N/A</v>
      </c>
      <c r="CD25" s="101" t="s">
        <v>114</v>
      </c>
      <c r="CE25" s="101">
        <f t="shared" si="47"/>
        <v>0</v>
      </c>
      <c r="CF25" s="101"/>
      <c r="CG25" s="105" t="e">
        <f>VLOOKUP(CH$2,poule3,9,FALSE)</f>
        <v>#N/A</v>
      </c>
      <c r="CH25" s="101" t="s">
        <v>114</v>
      </c>
      <c r="CI25" s="101">
        <f t="shared" si="48"/>
        <v>0</v>
      </c>
      <c r="CJ25" s="101"/>
      <c r="CK25" s="100"/>
      <c r="CL25" s="101"/>
      <c r="CM25" s="101"/>
      <c r="CN25" s="102"/>
      <c r="CU25" s="131"/>
      <c r="CV25" s="179" t="s">
        <v>28</v>
      </c>
      <c r="CW25" s="181" t="s">
        <v>28</v>
      </c>
      <c r="CX25" s="181" t="s">
        <v>28</v>
      </c>
      <c r="CY25" s="181" t="s">
        <v>28</v>
      </c>
      <c r="CZ25" s="181" t="s">
        <v>28</v>
      </c>
      <c r="DA25" s="181"/>
      <c r="DB25" s="181" t="s">
        <v>28</v>
      </c>
      <c r="DC25" s="181" t="s">
        <v>28</v>
      </c>
      <c r="DD25" s="181" t="s">
        <v>28</v>
      </c>
      <c r="DE25" s="181">
        <v>7</v>
      </c>
      <c r="DF25" s="181" t="s">
        <v>28</v>
      </c>
      <c r="DG25" s="181" t="s">
        <v>28</v>
      </c>
      <c r="DH25" s="181" t="s">
        <v>28</v>
      </c>
      <c r="DI25" s="181">
        <v>3</v>
      </c>
      <c r="DJ25" s="181" t="s">
        <v>28</v>
      </c>
      <c r="DK25" s="182" t="s">
        <v>28</v>
      </c>
      <c r="DL25" s="93"/>
      <c r="DM25" s="179" t="s">
        <v>28</v>
      </c>
      <c r="DN25" s="181" t="s">
        <v>28</v>
      </c>
      <c r="DO25" s="181" t="s">
        <v>28</v>
      </c>
      <c r="DP25" s="181" t="s">
        <v>28</v>
      </c>
      <c r="DQ25" s="181" t="s">
        <v>28</v>
      </c>
      <c r="DR25" s="181"/>
      <c r="DS25" s="181" t="s">
        <v>28</v>
      </c>
      <c r="DT25" s="181" t="s">
        <v>28</v>
      </c>
      <c r="DU25" s="181" t="s">
        <v>28</v>
      </c>
      <c r="DV25" s="181" t="s">
        <v>28</v>
      </c>
      <c r="DW25" s="181" t="s">
        <v>28</v>
      </c>
      <c r="DX25" s="181" t="s">
        <v>28</v>
      </c>
      <c r="DY25" s="181" t="s">
        <v>28</v>
      </c>
      <c r="DZ25" s="181" t="s">
        <v>28</v>
      </c>
      <c r="EA25" s="181" t="s">
        <v>28</v>
      </c>
      <c r="EB25" s="182"/>
      <c r="EC25" s="93"/>
      <c r="ED25" s="93"/>
      <c r="EE25" s="93"/>
      <c r="EF25" s="93"/>
      <c r="EG25" s="93"/>
      <c r="EH25" s="93"/>
      <c r="EJ25" s="93">
        <v>24</v>
      </c>
      <c r="EL25" s="166" t="s">
        <v>115</v>
      </c>
      <c r="FI25" s="93"/>
      <c r="FJ25" s="93"/>
      <c r="FK25" s="93"/>
      <c r="FL25" s="93"/>
      <c r="FM25" s="93"/>
      <c r="FN25" s="166"/>
      <c r="FO25" s="166"/>
      <c r="FP25" s="104"/>
      <c r="FQ25" s="166"/>
      <c r="FR25" s="166"/>
      <c r="FS25" s="166"/>
      <c r="FT25" s="166"/>
      <c r="FU25" s="166"/>
    </row>
    <row r="26" spans="1:177" ht="21.95" customHeight="1" x14ac:dyDescent="0.25">
      <c r="A26" s="178">
        <f>HLOOKUP($A$3,Scenario1,18,FALSE)</f>
        <v>4</v>
      </c>
      <c r="B26" s="106" t="str">
        <f>VLOOKUP($A26,joueurs,2,FALSE)</f>
        <v>BLANCHARD THIERRY</v>
      </c>
      <c r="C26" s="328">
        <f>HLOOKUP($A$3,TourDeJeu,38,FALSE)</f>
        <v>60</v>
      </c>
      <c r="D26" s="107">
        <v>58</v>
      </c>
      <c r="E26" s="108">
        <v>40</v>
      </c>
      <c r="F26" s="108">
        <v>14</v>
      </c>
      <c r="G26" s="225">
        <f>IF(E26="","",D26/E26)</f>
        <v>1.45</v>
      </c>
      <c r="H26" s="110"/>
      <c r="I26" s="111">
        <f>IF(ISBLANK(D26),"",D26/E26+(F26/100))</f>
        <v>1.5899999999999999</v>
      </c>
      <c r="J26" s="112">
        <f>IF(ISBLANK(D26),"",IF(D26&gt;D27,2,IF(D26=D27,1,0)))</f>
        <v>2</v>
      </c>
      <c r="K26" s="178"/>
      <c r="X26" s="93" t="s">
        <v>116</v>
      </c>
      <c r="Y26" s="100" t="e">
        <f>VLOOKUP(Z$2,poule4,9,FALSE)</f>
        <v>#N/A</v>
      </c>
      <c r="Z26" s="101" t="s">
        <v>116</v>
      </c>
      <c r="AA26" s="101">
        <f t="shared" si="33"/>
        <v>0</v>
      </c>
      <c r="AB26" s="101"/>
      <c r="AC26" s="100" t="e">
        <f>VLOOKUP(AD$2,poule4,9,FALSE)</f>
        <v>#N/A</v>
      </c>
      <c r="AD26" s="101" t="s">
        <v>116</v>
      </c>
      <c r="AE26" s="101">
        <f t="shared" si="34"/>
        <v>0</v>
      </c>
      <c r="AF26" s="101"/>
      <c r="AG26" s="100" t="e">
        <f>VLOOKUP(AH$2,poule4,9,FALSE)</f>
        <v>#N/A</v>
      </c>
      <c r="AH26" s="101" t="s">
        <v>116</v>
      </c>
      <c r="AI26" s="101">
        <f t="shared" si="35"/>
        <v>0</v>
      </c>
      <c r="AJ26" s="101"/>
      <c r="AK26" s="100" t="e">
        <f>VLOOKUP(AL$2,poule4,9,FALSE)</f>
        <v>#N/A</v>
      </c>
      <c r="AL26" s="101" t="s">
        <v>116</v>
      </c>
      <c r="AM26" s="101">
        <f t="shared" si="36"/>
        <v>0</v>
      </c>
      <c r="AN26" s="101"/>
      <c r="AO26" s="100" t="e">
        <f>VLOOKUP(AP$2,poule4,9,FALSE)</f>
        <v>#N/A</v>
      </c>
      <c r="AP26" s="101" t="s">
        <v>116</v>
      </c>
      <c r="AQ26" s="101">
        <f t="shared" si="37"/>
        <v>0</v>
      </c>
      <c r="AR26" s="101"/>
      <c r="AS26" s="100" t="e">
        <f>VLOOKUP(AT$2,poule4,9,FALSE)</f>
        <v>#N/A</v>
      </c>
      <c r="AT26" s="101" t="s">
        <v>116</v>
      </c>
      <c r="AU26" s="101">
        <f t="shared" si="38"/>
        <v>0</v>
      </c>
      <c r="AV26" s="101"/>
      <c r="AW26" s="100" t="e">
        <f>VLOOKUP(AX$2,poule4,9,FALSE)</f>
        <v>#N/A</v>
      </c>
      <c r="AX26" s="101" t="s">
        <v>116</v>
      </c>
      <c r="AY26" s="101">
        <f t="shared" si="39"/>
        <v>0</v>
      </c>
      <c r="AZ26" s="101"/>
      <c r="BA26" s="100" t="e">
        <f>VLOOKUP(BB$2,poule4,9,FALSE)</f>
        <v>#N/A</v>
      </c>
      <c r="BB26" s="101" t="s">
        <v>116</v>
      </c>
      <c r="BC26" s="101">
        <f t="shared" si="40"/>
        <v>0</v>
      </c>
      <c r="BD26" s="101"/>
      <c r="BE26" s="100" t="e">
        <f>VLOOKUP(BF$2,poule4,9,FALSE)</f>
        <v>#N/A</v>
      </c>
      <c r="BF26" s="101" t="s">
        <v>116</v>
      </c>
      <c r="BG26" s="101">
        <f t="shared" si="41"/>
        <v>0</v>
      </c>
      <c r="BH26" s="101"/>
      <c r="BI26" s="100" t="e">
        <f>VLOOKUP(BJ$2,poule4,9,FALSE)</f>
        <v>#N/A</v>
      </c>
      <c r="BJ26" s="101" t="s">
        <v>116</v>
      </c>
      <c r="BK26" s="101">
        <f t="shared" si="42"/>
        <v>0</v>
      </c>
      <c r="BL26" s="101"/>
      <c r="BM26" s="100" t="e">
        <f>VLOOKUP(BN$2,poule4,9,FALSE)</f>
        <v>#N/A</v>
      </c>
      <c r="BN26" s="101" t="s">
        <v>116</v>
      </c>
      <c r="BO26" s="101">
        <f t="shared" si="43"/>
        <v>0</v>
      </c>
      <c r="BP26" s="101"/>
      <c r="BQ26" s="100" t="e">
        <f>VLOOKUP(BR$2,poule4,9,FALSE)</f>
        <v>#N/A</v>
      </c>
      <c r="BR26" s="101" t="s">
        <v>116</v>
      </c>
      <c r="BS26" s="101">
        <f t="shared" si="44"/>
        <v>0</v>
      </c>
      <c r="BT26" s="101"/>
      <c r="BU26" s="100" t="e">
        <f>VLOOKUP(BV$2,poule4,9,FALSE)</f>
        <v>#N/A</v>
      </c>
      <c r="BV26" s="101" t="s">
        <v>116</v>
      </c>
      <c r="BW26" s="101">
        <f t="shared" si="45"/>
        <v>0</v>
      </c>
      <c r="BX26" s="101"/>
      <c r="BY26" s="100" t="e">
        <f>VLOOKUP(BZ$2,poule4,9,FALSE)</f>
        <v>#N/A</v>
      </c>
      <c r="BZ26" s="101" t="s">
        <v>116</v>
      </c>
      <c r="CA26" s="101">
        <f t="shared" si="46"/>
        <v>0</v>
      </c>
      <c r="CB26" s="101"/>
      <c r="CC26" s="100" t="e">
        <f>VLOOKUP(CD$2,poule4,9,FALSE)</f>
        <v>#N/A</v>
      </c>
      <c r="CD26" s="101" t="s">
        <v>116</v>
      </c>
      <c r="CE26" s="101">
        <f t="shared" si="47"/>
        <v>0</v>
      </c>
      <c r="CF26" s="101"/>
      <c r="CG26" s="100" t="e">
        <f>VLOOKUP(CH$2,poule4,9,FALSE)</f>
        <v>#N/A</v>
      </c>
      <c r="CH26" s="101" t="s">
        <v>116</v>
      </c>
      <c r="CI26" s="101">
        <f t="shared" si="48"/>
        <v>0</v>
      </c>
      <c r="CJ26" s="101"/>
      <c r="CK26" s="100"/>
      <c r="CL26" s="101"/>
      <c r="CM26" s="101"/>
      <c r="CN26" s="102"/>
      <c r="EJ26" s="93">
        <v>25</v>
      </c>
      <c r="EO26" s="42" t="str">
        <f>X100</f>
        <v>pts fin</v>
      </c>
      <c r="EP26" s="42" t="str">
        <f>X101</f>
        <v>reprises fin</v>
      </c>
      <c r="EQ26" s="42" t="str">
        <f>X102</f>
        <v>Pts match</v>
      </c>
      <c r="ER26" s="42" t="str">
        <f>X103</f>
        <v>série fin</v>
      </c>
      <c r="ES26" s="42" t="str">
        <f>X104</f>
        <v>Part</v>
      </c>
      <c r="ET26" s="42"/>
      <c r="EU26" s="42"/>
      <c r="FI26" s="93"/>
      <c r="FJ26" s="93"/>
      <c r="FK26" s="93"/>
      <c r="FL26" s="93"/>
      <c r="FM26" s="93"/>
      <c r="FN26" s="166"/>
      <c r="FO26" s="166"/>
      <c r="FP26" s="104"/>
      <c r="FQ26" s="166"/>
      <c r="FR26" s="166"/>
      <c r="FS26" s="166"/>
      <c r="FT26" s="166"/>
      <c r="FU26" s="166"/>
    </row>
    <row r="27" spans="1:177" ht="21.95" customHeight="1" x14ac:dyDescent="0.25">
      <c r="A27" s="178">
        <f>HLOOKUP($A$3,Scenario1,19,FALSE)</f>
        <v>5</v>
      </c>
      <c r="B27" s="106" t="str">
        <f>VLOOKUP($A27,joueurs,2,FALSE)</f>
        <v>CARDON CHRISTIAN</v>
      </c>
      <c r="C27" s="329"/>
      <c r="D27" s="107">
        <v>56</v>
      </c>
      <c r="E27" s="114">
        <f>IF(E26="","",E26)</f>
        <v>40</v>
      </c>
      <c r="F27" s="108"/>
      <c r="G27" s="225">
        <f>IF(E27="","",D27/E27)</f>
        <v>1.4</v>
      </c>
      <c r="H27" s="115">
        <f>H26</f>
        <v>0</v>
      </c>
      <c r="I27" s="111">
        <f>IF(ISBLANK(D27),"",D27/E27+(F27/100))</f>
        <v>1.4</v>
      </c>
      <c r="J27" s="112">
        <f>IF(ISBLANK(D27),"",IF(D27&gt;D26,2,IF(D27=D26,1,0)))</f>
        <v>0</v>
      </c>
      <c r="K27" s="178"/>
      <c r="X27" s="93" t="s">
        <v>117</v>
      </c>
      <c r="Y27" s="100" t="e">
        <f>VLOOKUP(Z$2,poule5,9,FALSE)</f>
        <v>#N/A</v>
      </c>
      <c r="Z27" s="101" t="s">
        <v>117</v>
      </c>
      <c r="AA27" s="101">
        <f t="shared" si="33"/>
        <v>0</v>
      </c>
      <c r="AB27" s="101"/>
      <c r="AC27" s="100" t="e">
        <f>VLOOKUP(AD$2,poule5,9,FALSE)</f>
        <v>#N/A</v>
      </c>
      <c r="AD27" s="101" t="s">
        <v>117</v>
      </c>
      <c r="AE27" s="101">
        <f t="shared" si="34"/>
        <v>0</v>
      </c>
      <c r="AF27" s="101"/>
      <c r="AG27" s="100" t="e">
        <f>VLOOKUP(AH$2,poule5,9,FALSE)</f>
        <v>#N/A</v>
      </c>
      <c r="AH27" s="101" t="s">
        <v>117</v>
      </c>
      <c r="AI27" s="101">
        <f t="shared" si="35"/>
        <v>0</v>
      </c>
      <c r="AJ27" s="101"/>
      <c r="AK27" s="100" t="e">
        <f>VLOOKUP(AL$2,poule5,9,FALSE)</f>
        <v>#N/A</v>
      </c>
      <c r="AL27" s="101" t="s">
        <v>117</v>
      </c>
      <c r="AM27" s="101">
        <f t="shared" si="36"/>
        <v>0</v>
      </c>
      <c r="AN27" s="101"/>
      <c r="AO27" s="100" t="e">
        <f>VLOOKUP(AP$2,poule5,9,FALSE)</f>
        <v>#N/A</v>
      </c>
      <c r="AP27" s="101" t="s">
        <v>117</v>
      </c>
      <c r="AQ27" s="101">
        <f t="shared" si="37"/>
        <v>0</v>
      </c>
      <c r="AR27" s="101"/>
      <c r="AS27" s="100" t="e">
        <f>VLOOKUP(AT$2,poule5,9,FALSE)</f>
        <v>#N/A</v>
      </c>
      <c r="AT27" s="101" t="s">
        <v>117</v>
      </c>
      <c r="AU27" s="101">
        <f t="shared" si="38"/>
        <v>0</v>
      </c>
      <c r="AV27" s="101"/>
      <c r="AW27" s="100" t="e">
        <f>VLOOKUP(AX$2,poule5,9,FALSE)</f>
        <v>#N/A</v>
      </c>
      <c r="AX27" s="101" t="s">
        <v>117</v>
      </c>
      <c r="AY27" s="101">
        <f t="shared" si="39"/>
        <v>0</v>
      </c>
      <c r="AZ27" s="101"/>
      <c r="BA27" s="100" t="e">
        <f>VLOOKUP(BB$2,poule5,9,FALSE)</f>
        <v>#N/A</v>
      </c>
      <c r="BB27" s="101" t="s">
        <v>117</v>
      </c>
      <c r="BC27" s="101">
        <f t="shared" si="40"/>
        <v>0</v>
      </c>
      <c r="BD27" s="101"/>
      <c r="BE27" s="100" t="e">
        <f>VLOOKUP(BF$2,poule5,9,FALSE)</f>
        <v>#N/A</v>
      </c>
      <c r="BF27" s="101" t="s">
        <v>117</v>
      </c>
      <c r="BG27" s="101">
        <f t="shared" si="41"/>
        <v>0</v>
      </c>
      <c r="BH27" s="101"/>
      <c r="BI27" s="100" t="e">
        <f>VLOOKUP(BJ$2,poule5,9,FALSE)</f>
        <v>#N/A</v>
      </c>
      <c r="BJ27" s="101" t="s">
        <v>117</v>
      </c>
      <c r="BK27" s="101">
        <f t="shared" si="42"/>
        <v>0</v>
      </c>
      <c r="BL27" s="101"/>
      <c r="BM27" s="100" t="e">
        <f>VLOOKUP(BN$2,poule5,9,FALSE)</f>
        <v>#N/A</v>
      </c>
      <c r="BN27" s="101" t="s">
        <v>117</v>
      </c>
      <c r="BO27" s="101">
        <f t="shared" si="43"/>
        <v>0</v>
      </c>
      <c r="BP27" s="101"/>
      <c r="BQ27" s="100" t="e">
        <f>VLOOKUP(BR$2,poule5,9,FALSE)</f>
        <v>#N/A</v>
      </c>
      <c r="BR27" s="101" t="s">
        <v>117</v>
      </c>
      <c r="BS27" s="101">
        <f t="shared" si="44"/>
        <v>0</v>
      </c>
      <c r="BT27" s="101"/>
      <c r="BU27" s="100" t="e">
        <f>VLOOKUP(BV$2,poule5,9,FALSE)</f>
        <v>#N/A</v>
      </c>
      <c r="BV27" s="101" t="s">
        <v>117</v>
      </c>
      <c r="BW27" s="101">
        <f t="shared" si="45"/>
        <v>0</v>
      </c>
      <c r="BX27" s="101"/>
      <c r="BY27" s="100" t="e">
        <f>VLOOKUP(BZ$2,poule5,9,FALSE)</f>
        <v>#N/A</v>
      </c>
      <c r="BZ27" s="101" t="s">
        <v>117</v>
      </c>
      <c r="CA27" s="101">
        <f t="shared" si="46"/>
        <v>0</v>
      </c>
      <c r="CB27" s="101"/>
      <c r="CC27" s="100" t="e">
        <f>VLOOKUP(CD$2,poule5,9,FALSE)</f>
        <v>#N/A</v>
      </c>
      <c r="CD27" s="101" t="s">
        <v>117</v>
      </c>
      <c r="CE27" s="101">
        <f t="shared" si="47"/>
        <v>0</v>
      </c>
      <c r="CF27" s="101"/>
      <c r="CG27" s="100" t="e">
        <f>VLOOKUP(CH$2,poule5,9,FALSE)</f>
        <v>#N/A</v>
      </c>
      <c r="CH27" s="101" t="s">
        <v>117</v>
      </c>
      <c r="CI27" s="101">
        <f t="shared" si="48"/>
        <v>0</v>
      </c>
      <c r="CJ27" s="101"/>
      <c r="CK27" s="100"/>
      <c r="CL27" s="101"/>
      <c r="CM27" s="101"/>
      <c r="CN27" s="102"/>
      <c r="EJ27" s="93">
        <v>26</v>
      </c>
      <c r="EL27" s="166">
        <f>RANK(EX27,$EX$27:$EY$34)</f>
        <v>1</v>
      </c>
      <c r="EM27" s="166">
        <f>Y2</f>
        <v>1</v>
      </c>
      <c r="EN27" s="166" t="str">
        <f>Z2</f>
        <v>DAVID MICHEL</v>
      </c>
      <c r="EO27" s="104">
        <f>AA100</f>
        <v>120</v>
      </c>
      <c r="EP27" s="104">
        <f>AA101</f>
        <v>74</v>
      </c>
      <c r="EQ27" s="93">
        <f>AA102</f>
        <v>4</v>
      </c>
      <c r="ER27" s="93">
        <f>AA103</f>
        <v>6</v>
      </c>
      <c r="ES27" s="132">
        <f>AA104</f>
        <v>1.6666666666666667</v>
      </c>
      <c r="ET27" s="132">
        <f>AA105</f>
        <v>0</v>
      </c>
      <c r="EU27" s="132">
        <f>AA106</f>
        <v>0</v>
      </c>
      <c r="EV27" s="323">
        <f t="shared" ref="EV27:EV34" si="49">IF(ISERROR(FB27),0,FB27)</f>
        <v>1.6216216216216217</v>
      </c>
      <c r="EW27" s="323"/>
      <c r="EX27" s="324">
        <f>IF(ISERROR(FD27),0,FD27)+ET27</f>
        <v>4.0000162222162157</v>
      </c>
      <c r="EY27" s="324"/>
      <c r="FB27" s="330">
        <f t="shared" ref="FB27:FB34" si="50">EO27/EP27</f>
        <v>1.6216216216216217</v>
      </c>
      <c r="FC27" s="330"/>
      <c r="FD27" s="321">
        <f>EQ27+(FB27/100000)+(ER27/1000000000)</f>
        <v>4.0000162222162157</v>
      </c>
      <c r="FE27" s="321"/>
      <c r="FI27" s="93"/>
      <c r="FJ27" s="93"/>
      <c r="FK27" s="93"/>
      <c r="FL27" s="93"/>
      <c r="FM27" s="93"/>
      <c r="FN27" s="166"/>
      <c r="FO27" s="166"/>
      <c r="FP27" s="104"/>
      <c r="FQ27" s="166"/>
      <c r="FR27" s="166"/>
      <c r="FS27" s="166"/>
      <c r="FT27" s="166"/>
      <c r="FU27" s="166"/>
    </row>
    <row r="28" spans="1:177" ht="21.95" customHeight="1" x14ac:dyDescent="0.25">
      <c r="A28" s="178"/>
      <c r="B28" s="118"/>
      <c r="C28" s="118"/>
      <c r="D28" s="119"/>
      <c r="E28" s="118"/>
      <c r="F28" s="120"/>
      <c r="G28" s="226"/>
      <c r="H28" s="122"/>
      <c r="I28" s="123"/>
      <c r="J28" s="113"/>
      <c r="K28" s="178"/>
      <c r="W28" s="113"/>
      <c r="X28" s="93" t="s">
        <v>118</v>
      </c>
      <c r="Y28" s="100" t="e">
        <f>VLOOKUP(Z$2,Poule6,9,FALSE)</f>
        <v>#N/A</v>
      </c>
      <c r="Z28" s="101" t="s">
        <v>118</v>
      </c>
      <c r="AA28" s="101">
        <f t="shared" si="33"/>
        <v>0</v>
      </c>
      <c r="AB28" s="101"/>
      <c r="AC28" s="100" t="e">
        <f>VLOOKUP(AD$2,Poule6,9,FALSE)</f>
        <v>#N/A</v>
      </c>
      <c r="AD28" s="101" t="s">
        <v>118</v>
      </c>
      <c r="AE28" s="101">
        <f t="shared" si="34"/>
        <v>0</v>
      </c>
      <c r="AF28" s="101"/>
      <c r="AG28" s="100" t="e">
        <f>VLOOKUP(AH$2,Poule6,9,FALSE)</f>
        <v>#N/A</v>
      </c>
      <c r="AH28" s="101" t="s">
        <v>118</v>
      </c>
      <c r="AI28" s="101">
        <f t="shared" si="35"/>
        <v>0</v>
      </c>
      <c r="AJ28" s="101"/>
      <c r="AK28" s="100" t="e">
        <f>VLOOKUP(AL$2,Poule6,9,FALSE)</f>
        <v>#N/A</v>
      </c>
      <c r="AL28" s="101" t="s">
        <v>118</v>
      </c>
      <c r="AM28" s="101">
        <f t="shared" si="36"/>
        <v>0</v>
      </c>
      <c r="AN28" s="101"/>
      <c r="AO28" s="100" t="e">
        <f>VLOOKUP(AP$2,Poule6,9,FALSE)</f>
        <v>#N/A</v>
      </c>
      <c r="AP28" s="101" t="s">
        <v>118</v>
      </c>
      <c r="AQ28" s="101">
        <f t="shared" si="37"/>
        <v>0</v>
      </c>
      <c r="AR28" s="101"/>
      <c r="AS28" s="100" t="e">
        <f>VLOOKUP(AT$2,Poule6,9,FALSE)</f>
        <v>#N/A</v>
      </c>
      <c r="AT28" s="101" t="s">
        <v>118</v>
      </c>
      <c r="AU28" s="101">
        <f t="shared" si="38"/>
        <v>0</v>
      </c>
      <c r="AV28" s="101"/>
      <c r="AW28" s="100" t="e">
        <f>VLOOKUP(AX$2,Poule6,9,FALSE)</f>
        <v>#N/A</v>
      </c>
      <c r="AX28" s="101" t="s">
        <v>118</v>
      </c>
      <c r="AY28" s="101">
        <f t="shared" si="39"/>
        <v>0</v>
      </c>
      <c r="AZ28" s="101"/>
      <c r="BA28" s="100" t="e">
        <f>VLOOKUP(BB$2,Poule6,9,FALSE)</f>
        <v>#N/A</v>
      </c>
      <c r="BB28" s="101" t="s">
        <v>118</v>
      </c>
      <c r="BC28" s="101">
        <f t="shared" si="40"/>
        <v>0</v>
      </c>
      <c r="BD28" s="101"/>
      <c r="BE28" s="100" t="e">
        <f>VLOOKUP(BF$2,Poule6,9,FALSE)</f>
        <v>#N/A</v>
      </c>
      <c r="BF28" s="101" t="s">
        <v>118</v>
      </c>
      <c r="BG28" s="101">
        <f t="shared" si="41"/>
        <v>0</v>
      </c>
      <c r="BH28" s="101"/>
      <c r="BI28" s="100" t="e">
        <f>VLOOKUP(BJ$2,Poule6,9,FALSE)</f>
        <v>#N/A</v>
      </c>
      <c r="BJ28" s="101" t="s">
        <v>118</v>
      </c>
      <c r="BK28" s="101">
        <f t="shared" si="42"/>
        <v>0</v>
      </c>
      <c r="BL28" s="101"/>
      <c r="BM28" s="100" t="e">
        <f>VLOOKUP(BN$2,Poule6,9,FALSE)</f>
        <v>#N/A</v>
      </c>
      <c r="BN28" s="101" t="s">
        <v>118</v>
      </c>
      <c r="BO28" s="101">
        <f t="shared" si="43"/>
        <v>0</v>
      </c>
      <c r="BP28" s="101"/>
      <c r="BQ28" s="100" t="e">
        <f>VLOOKUP(BR$2,Poule6,9,FALSE)</f>
        <v>#N/A</v>
      </c>
      <c r="BR28" s="101" t="s">
        <v>118</v>
      </c>
      <c r="BS28" s="101">
        <f t="shared" si="44"/>
        <v>0</v>
      </c>
      <c r="BT28" s="101"/>
      <c r="BU28" s="100" t="e">
        <f>VLOOKUP(BV$2,Poule6,9,FALSE)</f>
        <v>#N/A</v>
      </c>
      <c r="BV28" s="101" t="s">
        <v>118</v>
      </c>
      <c r="BW28" s="101">
        <f t="shared" si="45"/>
        <v>0</v>
      </c>
      <c r="BX28" s="101"/>
      <c r="BY28" s="100" t="e">
        <f>VLOOKUP(BZ$2,Poule6,9,FALSE)</f>
        <v>#N/A</v>
      </c>
      <c r="BZ28" s="101" t="s">
        <v>118</v>
      </c>
      <c r="CA28" s="101">
        <f t="shared" si="46"/>
        <v>0</v>
      </c>
      <c r="CB28" s="101"/>
      <c r="CC28" s="100" t="e">
        <f>VLOOKUP(CD$2,Poule6,9,FALSE)</f>
        <v>#N/A</v>
      </c>
      <c r="CD28" s="101" t="s">
        <v>118</v>
      </c>
      <c r="CE28" s="101">
        <f t="shared" si="47"/>
        <v>0</v>
      </c>
      <c r="CF28" s="101"/>
      <c r="CG28" s="100" t="e">
        <f>VLOOKUP(CH$2,Poule6,9,FALSE)</f>
        <v>#N/A</v>
      </c>
      <c r="CH28" s="101" t="s">
        <v>118</v>
      </c>
      <c r="CI28" s="101">
        <f t="shared" si="48"/>
        <v>0</v>
      </c>
      <c r="CJ28" s="101"/>
      <c r="CK28" s="100"/>
      <c r="CL28" s="101"/>
      <c r="CM28" s="101"/>
      <c r="CN28" s="102"/>
      <c r="CO28" s="49"/>
      <c r="CV28" s="166" t="s">
        <v>119</v>
      </c>
      <c r="CW28" s="166" t="s">
        <v>119</v>
      </c>
      <c r="CX28" s="166" t="s">
        <v>119</v>
      </c>
      <c r="CY28" s="166" t="s">
        <v>119</v>
      </c>
      <c r="CZ28" s="166" t="s">
        <v>497</v>
      </c>
      <c r="DB28" s="166" t="s">
        <v>119</v>
      </c>
      <c r="DC28" s="166" t="s">
        <v>119</v>
      </c>
      <c r="DD28" s="166" t="s">
        <v>119</v>
      </c>
      <c r="DE28" s="166" t="s">
        <v>120</v>
      </c>
      <c r="DF28" s="166" t="s">
        <v>119</v>
      </c>
      <c r="DG28" s="166" t="s">
        <v>119</v>
      </c>
      <c r="DH28" s="166" t="s">
        <v>119</v>
      </c>
      <c r="DI28" s="166" t="s">
        <v>119</v>
      </c>
      <c r="DJ28" s="166" t="s">
        <v>119</v>
      </c>
      <c r="DK28" s="166" t="s">
        <v>119</v>
      </c>
      <c r="DM28" s="166" t="s">
        <v>497</v>
      </c>
      <c r="DN28" s="166" t="s">
        <v>497</v>
      </c>
      <c r="DO28" s="166" t="s">
        <v>497</v>
      </c>
      <c r="DP28" s="166" t="s">
        <v>497</v>
      </c>
      <c r="DQ28" s="166" t="s">
        <v>497</v>
      </c>
      <c r="DT28" s="49" t="s">
        <v>497</v>
      </c>
      <c r="DU28" s="49" t="s">
        <v>497</v>
      </c>
      <c r="DV28" s="166" t="s">
        <v>121</v>
      </c>
      <c r="DW28" s="166" t="s">
        <v>497</v>
      </c>
      <c r="DX28" s="166" t="s">
        <v>497</v>
      </c>
      <c r="DY28" s="166" t="s">
        <v>497</v>
      </c>
      <c r="DZ28" s="166" t="s">
        <v>122</v>
      </c>
      <c r="EA28" s="166" t="s">
        <v>497</v>
      </c>
      <c r="EB28" s="166" t="s">
        <v>497</v>
      </c>
      <c r="EG28" s="49"/>
      <c r="EH28" s="49"/>
      <c r="EI28" s="49"/>
      <c r="EJ28" s="93">
        <v>27</v>
      </c>
      <c r="EL28" s="166">
        <f>RANK(EX28,$EX$27:$EY$34)</f>
        <v>4</v>
      </c>
      <c r="EM28" s="166">
        <f>AC2</f>
        <v>2</v>
      </c>
      <c r="EN28" s="166" t="str">
        <f>AD2</f>
        <v>FAREZ MICHEL</v>
      </c>
      <c r="EO28" s="104">
        <f>AE100</f>
        <v>100</v>
      </c>
      <c r="EP28" s="104">
        <f>AE101</f>
        <v>76</v>
      </c>
      <c r="EQ28" s="104">
        <f>AE102</f>
        <v>2</v>
      </c>
      <c r="ER28" s="93">
        <f>AE103</f>
        <v>7</v>
      </c>
      <c r="ES28" s="132">
        <f>AE104</f>
        <v>1.2749999999999999</v>
      </c>
      <c r="ET28" s="93">
        <f>AE105</f>
        <v>0</v>
      </c>
      <c r="EU28" s="132">
        <f>AE106</f>
        <v>0</v>
      </c>
      <c r="EV28" s="323">
        <f t="shared" si="49"/>
        <v>1.3157894736842106</v>
      </c>
      <c r="EW28" s="323"/>
      <c r="EX28" s="324">
        <f t="shared" ref="EX28:EX34" si="51">IF(ISERROR(FD28),0,FD28)+ET28</f>
        <v>2.000013164894737</v>
      </c>
      <c r="EY28" s="324"/>
      <c r="FB28" s="330">
        <f t="shared" si="50"/>
        <v>1.3157894736842106</v>
      </c>
      <c r="FC28" s="330"/>
      <c r="FD28" s="321">
        <f t="shared" ref="FD28:FD34" si="52">EQ28+(FB28/100000)+(ER28/1000000000)</f>
        <v>2.000013164894737</v>
      </c>
      <c r="FE28" s="321"/>
      <c r="FI28" s="93"/>
      <c r="FJ28" s="93"/>
      <c r="FK28" s="93"/>
      <c r="FL28" s="93"/>
      <c r="FM28" s="93"/>
      <c r="FN28" s="93"/>
      <c r="FO28" s="166"/>
      <c r="FP28" s="166"/>
      <c r="FQ28" s="104"/>
      <c r="FR28" s="166"/>
      <c r="FS28" s="166"/>
      <c r="FT28" s="166"/>
      <c r="FU28" s="166"/>
    </row>
    <row r="29" spans="1:177" ht="21.95" customHeight="1" x14ac:dyDescent="0.25">
      <c r="A29" s="178"/>
      <c r="B29" s="325" t="str">
        <f>HLOOKUP($A$3,TourDeJeu,30,FALSE)</f>
        <v>-</v>
      </c>
      <c r="C29" s="326"/>
      <c r="D29" s="326"/>
      <c r="E29" s="326"/>
      <c r="F29" s="326"/>
      <c r="G29" s="326"/>
      <c r="H29" s="326"/>
      <c r="I29" s="326"/>
      <c r="J29" s="327"/>
      <c r="K29" s="96"/>
      <c r="L29" s="325" t="str">
        <f>HLOOKUP($A$3,TourDeJeu2,30,FALSE)</f>
        <v>-</v>
      </c>
      <c r="M29" s="326"/>
      <c r="N29" s="326"/>
      <c r="O29" s="326"/>
      <c r="P29" s="326"/>
      <c r="Q29" s="326"/>
      <c r="R29" s="326"/>
      <c r="S29" s="326"/>
      <c r="T29" s="326"/>
      <c r="U29" s="326"/>
      <c r="V29" s="327"/>
      <c r="W29" s="96"/>
      <c r="X29" s="93" t="s">
        <v>123</v>
      </c>
      <c r="Y29" s="100"/>
      <c r="Z29" s="127" t="s">
        <v>124</v>
      </c>
      <c r="AA29" s="116">
        <f>SUM(AA23:AA28)</f>
        <v>4</v>
      </c>
      <c r="AB29" s="101"/>
      <c r="AC29" s="100"/>
      <c r="AD29" s="127" t="s">
        <v>124</v>
      </c>
      <c r="AE29" s="116">
        <f>SUM(AE23:AE28)</f>
        <v>2</v>
      </c>
      <c r="AF29" s="101"/>
      <c r="AG29" s="100"/>
      <c r="AH29" s="127" t="s">
        <v>124</v>
      </c>
      <c r="AI29" s="116">
        <f>SUM(AI23:AI28)</f>
        <v>0</v>
      </c>
      <c r="AJ29" s="101"/>
      <c r="AK29" s="100"/>
      <c r="AL29" s="127" t="s">
        <v>124</v>
      </c>
      <c r="AM29" s="116">
        <f>SUM(AM23:AM28)</f>
        <v>4</v>
      </c>
      <c r="AN29" s="101"/>
      <c r="AO29" s="100"/>
      <c r="AP29" s="127" t="s">
        <v>124</v>
      </c>
      <c r="AQ29" s="116">
        <f>SUM(AQ23:AQ28)</f>
        <v>2</v>
      </c>
      <c r="AR29" s="101"/>
      <c r="AS29" s="100"/>
      <c r="AT29" s="127" t="s">
        <v>124</v>
      </c>
      <c r="AU29" s="116">
        <f>SUM(AU23:AU28)</f>
        <v>0</v>
      </c>
      <c r="AV29" s="101"/>
      <c r="AW29" s="100"/>
      <c r="AX29" s="127" t="s">
        <v>124</v>
      </c>
      <c r="AY29" s="116">
        <f>SUM(AY23:AY28)</f>
        <v>0</v>
      </c>
      <c r="AZ29" s="101"/>
      <c r="BA29" s="100"/>
      <c r="BB29" s="127" t="s">
        <v>124</v>
      </c>
      <c r="BC29" s="116">
        <f>SUM(BC23:BC28)</f>
        <v>0</v>
      </c>
      <c r="BD29" s="101"/>
      <c r="BE29" s="100"/>
      <c r="BF29" s="127" t="s">
        <v>124</v>
      </c>
      <c r="BG29" s="116">
        <f>SUM(BG23:BG28)</f>
        <v>0</v>
      </c>
      <c r="BH29" s="101"/>
      <c r="BI29" s="100"/>
      <c r="BJ29" s="127" t="s">
        <v>124</v>
      </c>
      <c r="BK29" s="116">
        <f>SUM(BK23:BK28)</f>
        <v>0</v>
      </c>
      <c r="BL29" s="101"/>
      <c r="BM29" s="100"/>
      <c r="BN29" s="127" t="s">
        <v>124</v>
      </c>
      <c r="BO29" s="116">
        <f>SUM(BO23:BO28)</f>
        <v>0</v>
      </c>
      <c r="BP29" s="101"/>
      <c r="BQ29" s="100"/>
      <c r="BR29" s="127" t="s">
        <v>124</v>
      </c>
      <c r="BS29" s="116">
        <f>SUM(BS23:BS28)</f>
        <v>0</v>
      </c>
      <c r="BT29" s="101"/>
      <c r="BU29" s="100"/>
      <c r="BV29" s="127" t="s">
        <v>124</v>
      </c>
      <c r="BW29" s="116">
        <f>SUM(BW23:BW28)</f>
        <v>0</v>
      </c>
      <c r="BX29" s="101"/>
      <c r="BY29" s="100"/>
      <c r="BZ29" s="127" t="s">
        <v>124</v>
      </c>
      <c r="CA29" s="116">
        <f>SUM(CA23:CA28)</f>
        <v>0</v>
      </c>
      <c r="CB29" s="101"/>
      <c r="CC29" s="100"/>
      <c r="CD29" s="127" t="s">
        <v>124</v>
      </c>
      <c r="CE29" s="116">
        <f>SUM(CE23:CE28)</f>
        <v>0</v>
      </c>
      <c r="CF29" s="101"/>
      <c r="CG29" s="100"/>
      <c r="CH29" s="127" t="s">
        <v>124</v>
      </c>
      <c r="CI29" s="116">
        <f>SUM(CI23:CI28)</f>
        <v>0</v>
      </c>
      <c r="CJ29" s="101"/>
      <c r="CK29" s="100"/>
      <c r="CL29" s="101"/>
      <c r="CM29" s="101"/>
      <c r="CN29" s="102"/>
      <c r="CV29" s="166" t="s">
        <v>125</v>
      </c>
      <c r="CW29" s="166" t="s">
        <v>125</v>
      </c>
      <c r="CX29" s="166" t="s">
        <v>125</v>
      </c>
      <c r="CY29" s="166" t="s">
        <v>125</v>
      </c>
      <c r="CZ29" s="166" t="s">
        <v>497</v>
      </c>
      <c r="DB29" s="166" t="s">
        <v>125</v>
      </c>
      <c r="DC29" s="166" t="s">
        <v>125</v>
      </c>
      <c r="DD29" s="166" t="s">
        <v>125</v>
      </c>
      <c r="DE29" s="166" t="s">
        <v>126</v>
      </c>
      <c r="DF29" s="166" t="s">
        <v>125</v>
      </c>
      <c r="DG29" s="166" t="s">
        <v>125</v>
      </c>
      <c r="DH29" s="166" t="s">
        <v>125</v>
      </c>
      <c r="DI29" s="166" t="s">
        <v>125</v>
      </c>
      <c r="DJ29" s="166" t="s">
        <v>125</v>
      </c>
      <c r="DK29" s="166" t="s">
        <v>125</v>
      </c>
      <c r="DM29" s="166" t="s">
        <v>497</v>
      </c>
      <c r="DN29" s="166" t="s">
        <v>497</v>
      </c>
      <c r="DO29" s="166" t="s">
        <v>497</v>
      </c>
      <c r="DP29" s="166" t="s">
        <v>497</v>
      </c>
      <c r="DQ29" s="166" t="s">
        <v>497</v>
      </c>
      <c r="DT29" s="166" t="s">
        <v>497</v>
      </c>
      <c r="DU29" s="166" t="s">
        <v>497</v>
      </c>
      <c r="DV29" s="166" t="s">
        <v>127</v>
      </c>
      <c r="DW29" s="166" t="s">
        <v>497</v>
      </c>
      <c r="DX29" s="166" t="s">
        <v>497</v>
      </c>
      <c r="DY29" s="166" t="s">
        <v>497</v>
      </c>
      <c r="DZ29" s="166" t="s">
        <v>497</v>
      </c>
      <c r="EA29" s="166" t="s">
        <v>497</v>
      </c>
      <c r="EB29" s="166" t="s">
        <v>497</v>
      </c>
      <c r="EJ29" s="93">
        <v>28</v>
      </c>
      <c r="EL29" s="166">
        <f t="shared" ref="EL29:EL34" si="53">RANK(EX29,$EX$27:$EY$34)</f>
        <v>6</v>
      </c>
      <c r="EM29" s="166">
        <f>AG2</f>
        <v>3</v>
      </c>
      <c r="EN29" s="166" t="str">
        <f>AH2</f>
        <v>LENGAIGNE DANIEL</v>
      </c>
      <c r="EO29" s="189">
        <f>AI100</f>
        <v>81</v>
      </c>
      <c r="EP29" s="189">
        <f>AI101</f>
        <v>78</v>
      </c>
      <c r="EQ29" s="189">
        <f>AI102</f>
        <v>0</v>
      </c>
      <c r="ER29" s="189">
        <f>AI103</f>
        <v>8</v>
      </c>
      <c r="ES29" s="190">
        <f>AI104</f>
        <v>0</v>
      </c>
      <c r="ET29" s="190">
        <f>AI105</f>
        <v>0</v>
      </c>
      <c r="EU29" s="190">
        <f>AI106</f>
        <v>0</v>
      </c>
      <c r="EV29" s="323">
        <f t="shared" si="49"/>
        <v>1.0384615384615385</v>
      </c>
      <c r="EW29" s="323"/>
      <c r="EX29" s="324">
        <f t="shared" si="51"/>
        <v>1.0392615384615387E-5</v>
      </c>
      <c r="EY29" s="324"/>
      <c r="FB29" s="330">
        <f t="shared" si="50"/>
        <v>1.0384615384615385</v>
      </c>
      <c r="FC29" s="330"/>
      <c r="FD29" s="321">
        <f t="shared" si="52"/>
        <v>1.0392615384615387E-5</v>
      </c>
      <c r="FE29" s="321"/>
      <c r="FI29" s="93"/>
      <c r="FJ29" s="93"/>
      <c r="FK29" s="93"/>
      <c r="FL29" s="93"/>
      <c r="FM29" s="93"/>
      <c r="FN29" s="93"/>
      <c r="FO29" s="166"/>
      <c r="FP29" s="166"/>
      <c r="FQ29" s="104"/>
      <c r="FR29" s="166"/>
      <c r="FS29" s="166"/>
      <c r="FT29" s="166"/>
      <c r="FU29" s="166"/>
    </row>
    <row r="30" spans="1:177" ht="21.95" customHeight="1" x14ac:dyDescent="0.25">
      <c r="B30" s="42" t="s">
        <v>68</v>
      </c>
      <c r="C30" s="42" t="s">
        <v>15</v>
      </c>
      <c r="D30" s="189" t="s">
        <v>57</v>
      </c>
      <c r="E30" s="42" t="s">
        <v>69</v>
      </c>
      <c r="F30" s="42" t="s">
        <v>70</v>
      </c>
      <c r="G30" s="81" t="s">
        <v>71</v>
      </c>
      <c r="H30" s="42" t="s">
        <v>72</v>
      </c>
      <c r="I30" s="42"/>
      <c r="J30" s="42" t="s">
        <v>73</v>
      </c>
      <c r="K30" s="178"/>
      <c r="M30" s="42" t="s">
        <v>68</v>
      </c>
      <c r="N30" s="42" t="s">
        <v>15</v>
      </c>
      <c r="O30" s="189" t="s">
        <v>57</v>
      </c>
      <c r="P30" s="42" t="s">
        <v>69</v>
      </c>
      <c r="Q30" s="42" t="s">
        <v>70</v>
      </c>
      <c r="R30" s="42" t="s">
        <v>71</v>
      </c>
      <c r="S30" s="42" t="s">
        <v>72</v>
      </c>
      <c r="T30" s="42"/>
      <c r="U30" s="42" t="s">
        <v>73</v>
      </c>
      <c r="V30" s="42" t="s">
        <v>111</v>
      </c>
      <c r="X30" s="93"/>
      <c r="Y30" s="100"/>
      <c r="Z30" s="101"/>
      <c r="AA30" s="101"/>
      <c r="AB30" s="101"/>
      <c r="AC30" s="100"/>
      <c r="AD30" s="101"/>
      <c r="AE30" s="101"/>
      <c r="AF30" s="101"/>
      <c r="AG30" s="100"/>
      <c r="AH30" s="101"/>
      <c r="AI30" s="101"/>
      <c r="AJ30" s="101"/>
      <c r="AK30" s="100"/>
      <c r="AL30" s="101"/>
      <c r="AM30" s="101"/>
      <c r="AN30" s="101"/>
      <c r="AO30" s="100"/>
      <c r="AP30" s="101"/>
      <c r="AQ30" s="101"/>
      <c r="AR30" s="101"/>
      <c r="AS30" s="100"/>
      <c r="AT30" s="101"/>
      <c r="AU30" s="101"/>
      <c r="AV30" s="101"/>
      <c r="AW30" s="100"/>
      <c r="AX30" s="101"/>
      <c r="AY30" s="101"/>
      <c r="AZ30" s="101"/>
      <c r="BA30" s="100"/>
      <c r="BB30" s="101"/>
      <c r="BC30" s="101"/>
      <c r="BD30" s="101"/>
      <c r="BE30" s="100"/>
      <c r="BF30" s="101"/>
      <c r="BG30" s="101"/>
      <c r="BH30" s="101"/>
      <c r="BI30" s="100"/>
      <c r="BJ30" s="101"/>
      <c r="BK30" s="101"/>
      <c r="BL30" s="101"/>
      <c r="BM30" s="100"/>
      <c r="BN30" s="101"/>
      <c r="BO30" s="101"/>
      <c r="BP30" s="101"/>
      <c r="BQ30" s="100"/>
      <c r="BR30" s="101"/>
      <c r="BS30" s="101"/>
      <c r="BT30" s="101"/>
      <c r="BU30" s="100"/>
      <c r="BV30" s="101"/>
      <c r="BW30" s="101"/>
      <c r="BX30" s="101"/>
      <c r="BY30" s="100"/>
      <c r="BZ30" s="101"/>
      <c r="CA30" s="101"/>
      <c r="CB30" s="101"/>
      <c r="CC30" s="100"/>
      <c r="CD30" s="101"/>
      <c r="CE30" s="101"/>
      <c r="CF30" s="101"/>
      <c r="CG30" s="100"/>
      <c r="CH30" s="101"/>
      <c r="CI30" s="101"/>
      <c r="CJ30" s="101"/>
      <c r="CK30" s="105"/>
      <c r="CL30" s="133"/>
      <c r="CM30" s="101"/>
      <c r="CN30" s="102"/>
      <c r="CV30" s="166" t="s">
        <v>497</v>
      </c>
      <c r="CW30" s="166" t="s">
        <v>128</v>
      </c>
      <c r="CX30" s="166" t="s">
        <v>128</v>
      </c>
      <c r="CY30" s="166" t="s">
        <v>128</v>
      </c>
      <c r="CZ30" s="166" t="s">
        <v>497</v>
      </c>
      <c r="DB30" s="166" t="s">
        <v>128</v>
      </c>
      <c r="DC30" s="166" t="s">
        <v>128</v>
      </c>
      <c r="DD30" s="166" t="s">
        <v>128</v>
      </c>
      <c r="DE30" s="166" t="s">
        <v>129</v>
      </c>
      <c r="DF30" s="166" t="s">
        <v>128</v>
      </c>
      <c r="DG30" s="166" t="s">
        <v>128</v>
      </c>
      <c r="DH30" s="166" t="s">
        <v>128</v>
      </c>
      <c r="DI30" s="166" t="s">
        <v>128</v>
      </c>
      <c r="DJ30" s="166" t="s">
        <v>128</v>
      </c>
      <c r="DK30" s="166" t="s">
        <v>128</v>
      </c>
      <c r="DM30" s="166" t="s">
        <v>497</v>
      </c>
      <c r="DN30" s="166" t="s">
        <v>497</v>
      </c>
      <c r="DO30" s="166" t="s">
        <v>497</v>
      </c>
      <c r="DP30" s="166" t="s">
        <v>497</v>
      </c>
      <c r="DQ30" s="166" t="s">
        <v>497</v>
      </c>
      <c r="DT30" s="166" t="s">
        <v>497</v>
      </c>
      <c r="DU30" s="166" t="s">
        <v>497</v>
      </c>
      <c r="DV30" s="166" t="s">
        <v>497</v>
      </c>
      <c r="DW30" s="166" t="s">
        <v>497</v>
      </c>
      <c r="DX30" s="166" t="s">
        <v>497</v>
      </c>
      <c r="DY30" s="166" t="s">
        <v>497</v>
      </c>
      <c r="DZ30" s="166" t="s">
        <v>497</v>
      </c>
      <c r="EA30" s="166" t="s">
        <v>497</v>
      </c>
      <c r="EB30" s="166" t="s">
        <v>130</v>
      </c>
      <c r="EJ30" s="93">
        <v>29</v>
      </c>
      <c r="EL30" s="166">
        <f t="shared" si="53"/>
        <v>2</v>
      </c>
      <c r="EM30" s="166">
        <f>AK2</f>
        <v>4</v>
      </c>
      <c r="EN30" s="166" t="str">
        <f>AL2</f>
        <v>BLANCHARD THIERRY</v>
      </c>
      <c r="EO30" s="189">
        <f>AM100</f>
        <v>118</v>
      </c>
      <c r="EP30" s="189">
        <f>AM101</f>
        <v>77</v>
      </c>
      <c r="EQ30" s="189">
        <f>AM102</f>
        <v>4</v>
      </c>
      <c r="ER30" s="189">
        <f>AM103</f>
        <v>14</v>
      </c>
      <c r="ES30" s="190">
        <f>AM104</f>
        <v>1.6216216216216217</v>
      </c>
      <c r="ET30" s="93">
        <f>AM105</f>
        <v>0</v>
      </c>
      <c r="EU30" s="93">
        <f>AM106</f>
        <v>0</v>
      </c>
      <c r="EV30" s="323">
        <f t="shared" si="49"/>
        <v>1.5324675324675325</v>
      </c>
      <c r="EW30" s="323"/>
      <c r="EX30" s="324">
        <f t="shared" si="51"/>
        <v>4.0000153386753245</v>
      </c>
      <c r="EY30" s="324"/>
      <c r="FB30" s="322">
        <f t="shared" si="50"/>
        <v>1.5324675324675325</v>
      </c>
      <c r="FC30" s="322"/>
      <c r="FD30" s="321">
        <f t="shared" si="52"/>
        <v>4.0000153386753245</v>
      </c>
      <c r="FE30" s="321"/>
      <c r="FI30" s="93"/>
      <c r="FJ30" s="93"/>
      <c r="FK30" s="93"/>
      <c r="FL30" s="93"/>
      <c r="FM30" s="93"/>
      <c r="FN30" s="166"/>
      <c r="FO30" s="166"/>
      <c r="FP30" s="104"/>
      <c r="FQ30" s="166"/>
      <c r="FR30" s="166"/>
      <c r="FS30" s="166"/>
      <c r="FT30" s="166"/>
      <c r="FU30" s="166"/>
    </row>
    <row r="31" spans="1:177" ht="21.95" customHeight="1" x14ac:dyDescent="0.25">
      <c r="A31" s="178" t="str">
        <f>HLOOKUP($A$3,Scenario1,20,FALSE)</f>
        <v>@</v>
      </c>
      <c r="B31" s="106" t="str">
        <f>VLOOKUP($A31,joueurs,2,FALSE)</f>
        <v xml:space="preserve"> </v>
      </c>
      <c r="C31" s="328" t="str">
        <f>HLOOKUP($A$3,TourDeJeu,39,FALSE)</f>
        <v>-</v>
      </c>
      <c r="D31" s="107"/>
      <c r="E31" s="108"/>
      <c r="F31" s="108"/>
      <c r="G31" s="225" t="str">
        <f>IF(E31="","",D31/E31)</f>
        <v/>
      </c>
      <c r="H31" s="110"/>
      <c r="I31" s="111" t="str">
        <f>IF(ISBLANK(D31),"",D31/E31+(F31/100))</f>
        <v/>
      </c>
      <c r="J31" s="112" t="str">
        <f>IF(ISBLANK(D31),"",IF(D31&gt;D32,2,IF(D31=D32,1,0)))</f>
        <v/>
      </c>
      <c r="K31" s="178"/>
      <c r="L31" s="178" t="str">
        <f>HLOOKUP($A$3,scenario2,18,FALSE)</f>
        <v>@</v>
      </c>
      <c r="M31" s="106" t="str">
        <f>VLOOKUP($L31,joueurs,2,FALSE)</f>
        <v xml:space="preserve"> </v>
      </c>
      <c r="N31" s="328" t="str">
        <f>HLOOKUP($A$3,TourDeJeu2,38,FALSE)</f>
        <v>-</v>
      </c>
      <c r="O31" s="108"/>
      <c r="P31" s="108"/>
      <c r="Q31" s="108"/>
      <c r="R31" s="109" t="str">
        <f>IF(P31="","",O31/P31)</f>
        <v/>
      </c>
      <c r="S31" s="110"/>
      <c r="T31" s="111" t="str">
        <f>IF(ISBLANK(O31),"",O31/P31+(Q31/100))</f>
        <v/>
      </c>
      <c r="U31" s="112" t="str">
        <f>IF(ISBLANK(O31),"",IF(O31&gt;O32,2,IF(O31=O32,1,0)))</f>
        <v/>
      </c>
      <c r="V31" s="134"/>
      <c r="X31" s="93" t="s">
        <v>131</v>
      </c>
      <c r="Y31" s="105">
        <f t="shared" ref="Y31:Y36" si="54">IF(AND(AA23&gt;0,AA15&gt;0),AA3/AA15,0)</f>
        <v>1.5789473684210527</v>
      </c>
      <c r="Z31" s="133"/>
      <c r="AA31" s="101"/>
      <c r="AB31" s="101"/>
      <c r="AC31" s="105">
        <f t="shared" ref="AC31:AC36" si="55">IF(AND(AE23&gt;0,AE15&gt;0),AE3/AE15,0)</f>
        <v>0</v>
      </c>
      <c r="AD31" s="133"/>
      <c r="AE31" s="101"/>
      <c r="AF31" s="101"/>
      <c r="AG31" s="105">
        <f t="shared" ref="AG31:AG36" si="56">IF(AND(AI23&gt;0,AI15&gt;0),AI3/AI15,0)</f>
        <v>0</v>
      </c>
      <c r="AH31" s="133"/>
      <c r="AI31" s="101"/>
      <c r="AJ31" s="101"/>
      <c r="AK31" s="105">
        <f t="shared" ref="AK31:AK36" si="57">IF(AND(AM23&gt;0,AM15&gt;0),AM3/AM15,0)</f>
        <v>0</v>
      </c>
      <c r="AL31" s="133"/>
      <c r="AM31" s="101"/>
      <c r="AN31" s="101"/>
      <c r="AO31" s="105">
        <f t="shared" ref="AO31:AO36" si="58">IF(AND(AQ23&gt;0,AQ15&gt;0),AQ3/AQ15,0)</f>
        <v>1.6216216216216217</v>
      </c>
      <c r="AP31" s="133"/>
      <c r="AQ31" s="101"/>
      <c r="AR31" s="101"/>
      <c r="AS31" s="105">
        <f t="shared" ref="AS31:AS36" si="59">IF(AND(AU23&gt;0,AU15&gt;0),AU3/AU15,0)</f>
        <v>0</v>
      </c>
      <c r="AT31" s="133"/>
      <c r="AU31" s="101"/>
      <c r="AV31" s="101"/>
      <c r="AW31" s="105">
        <f t="shared" ref="AW31:AW36" si="60">IF(AND(AY23&gt;0,AY15&gt;0),AY3/AY15,0)</f>
        <v>0</v>
      </c>
      <c r="AX31" s="133"/>
      <c r="AY31" s="101"/>
      <c r="AZ31" s="101"/>
      <c r="BA31" s="105">
        <f t="shared" ref="BA31:BA36" si="61">IF(AND(BC23&gt;0,BC15&gt;0),BC3/BC15,0)</f>
        <v>0</v>
      </c>
      <c r="BB31" s="133"/>
      <c r="BC31" s="101"/>
      <c r="BD31" s="101"/>
      <c r="BE31" s="105">
        <f t="shared" ref="BE31:BE36" si="62">IF(AND(BG23&gt;0,BG15&gt;0),BG3/BG15,0)</f>
        <v>0</v>
      </c>
      <c r="BF31" s="133"/>
      <c r="BG31" s="101"/>
      <c r="BH31" s="101"/>
      <c r="BI31" s="105">
        <f t="shared" ref="BI31:BI36" si="63">IF(AND(BK23&gt;0,BK15&gt;0),BK3/BK15,0)</f>
        <v>0</v>
      </c>
      <c r="BJ31" s="133"/>
      <c r="BK31" s="101"/>
      <c r="BL31" s="101"/>
      <c r="BM31" s="105">
        <f t="shared" ref="BM31:BM36" si="64">IF(AND(BO23&gt;0,BO15&gt;0),BO3/BO15,0)</f>
        <v>0</v>
      </c>
      <c r="BN31" s="133"/>
      <c r="BO31" s="101"/>
      <c r="BP31" s="101"/>
      <c r="BQ31" s="105">
        <f t="shared" ref="BQ31:BQ36" si="65">IF(AND(BS23&gt;0,BS15&gt;0),BS3/BS15,0)</f>
        <v>0</v>
      </c>
      <c r="BR31" s="133"/>
      <c r="BS31" s="101"/>
      <c r="BT31" s="101"/>
      <c r="BU31" s="105">
        <f t="shared" ref="BU31:BU36" si="66">IF(AND(BW23&gt;0,BW15&gt;0),BW3/BW15,0)</f>
        <v>0</v>
      </c>
      <c r="BV31" s="133"/>
      <c r="BW31" s="101"/>
      <c r="BX31" s="101"/>
      <c r="BY31" s="105">
        <f t="shared" ref="BY31:BY36" si="67">IF(AND(CA23&gt;0,CA15&gt;0),CA3/CA15,0)</f>
        <v>0</v>
      </c>
      <c r="BZ31" s="133"/>
      <c r="CA31" s="101"/>
      <c r="CB31" s="101"/>
      <c r="CC31" s="105">
        <f t="shared" ref="CC31:CC36" si="68">IF(AND(CE23&gt;0,CE15&gt;0),CE3/CE15,0)</f>
        <v>0</v>
      </c>
      <c r="CD31" s="133"/>
      <c r="CE31" s="101"/>
      <c r="CF31" s="101"/>
      <c r="CG31" s="105">
        <f t="shared" ref="CG31:CG36" si="69">IF(AND(CI23&gt;0,CI15&gt;0),CI3/CI15,0)</f>
        <v>0</v>
      </c>
      <c r="CH31" s="133"/>
      <c r="CI31" s="101"/>
      <c r="CJ31" s="101"/>
      <c r="CK31" s="105"/>
      <c r="CL31" s="133"/>
      <c r="CM31" s="101"/>
      <c r="CN31" s="102"/>
      <c r="CV31" s="166" t="s">
        <v>497</v>
      </c>
      <c r="CW31" s="166" t="s">
        <v>497</v>
      </c>
      <c r="CX31" s="166" t="s">
        <v>497</v>
      </c>
      <c r="CY31" s="166" t="s">
        <v>497</v>
      </c>
      <c r="CZ31" s="166" t="s">
        <v>497</v>
      </c>
      <c r="DB31" s="166" t="s">
        <v>497</v>
      </c>
      <c r="DC31" s="166" t="s">
        <v>497</v>
      </c>
      <c r="DD31" s="166" t="s">
        <v>497</v>
      </c>
      <c r="DE31" s="166" t="s">
        <v>132</v>
      </c>
      <c r="DF31" s="166" t="s">
        <v>497</v>
      </c>
      <c r="DG31" s="166" t="s">
        <v>497</v>
      </c>
      <c r="DH31" s="166" t="s">
        <v>497</v>
      </c>
      <c r="DI31" s="166" t="s">
        <v>133</v>
      </c>
      <c r="DJ31" s="166" t="s">
        <v>497</v>
      </c>
      <c r="DK31" s="166" t="s">
        <v>497</v>
      </c>
      <c r="DL31" s="166" t="s">
        <v>497</v>
      </c>
      <c r="DM31" s="166" t="s">
        <v>497</v>
      </c>
      <c r="DN31" s="166" t="s">
        <v>497</v>
      </c>
      <c r="DO31" s="166" t="s">
        <v>497</v>
      </c>
      <c r="DP31" s="166" t="s">
        <v>497</v>
      </c>
      <c r="DQ31" s="166" t="s">
        <v>497</v>
      </c>
      <c r="DT31" s="166" t="s">
        <v>497</v>
      </c>
      <c r="DU31" s="166" t="s">
        <v>497</v>
      </c>
      <c r="DV31" s="166" t="s">
        <v>497</v>
      </c>
      <c r="DW31" s="166" t="s">
        <v>497</v>
      </c>
      <c r="DX31" s="166" t="s">
        <v>497</v>
      </c>
      <c r="DY31" s="166" t="s">
        <v>497</v>
      </c>
      <c r="DZ31" s="166" t="s">
        <v>497</v>
      </c>
      <c r="EA31" s="166" t="s">
        <v>497</v>
      </c>
      <c r="EB31" s="166" t="s">
        <v>497</v>
      </c>
      <c r="EJ31" s="93">
        <v>30</v>
      </c>
      <c r="EL31" s="166">
        <f t="shared" si="53"/>
        <v>3</v>
      </c>
      <c r="EM31" s="166">
        <f>AO2</f>
        <v>5</v>
      </c>
      <c r="EN31" s="166" t="str">
        <f>AP2</f>
        <v>CARDON CHRISTIAN</v>
      </c>
      <c r="EO31" s="104">
        <f>AQ100</f>
        <v>116</v>
      </c>
      <c r="EP31" s="104">
        <f>AQ101</f>
        <v>77</v>
      </c>
      <c r="EQ31" s="104">
        <f>AQ102</f>
        <v>2</v>
      </c>
      <c r="ER31" s="104">
        <f>AQ103</f>
        <v>8</v>
      </c>
      <c r="ES31" s="132">
        <f>AQ104</f>
        <v>1.6216216216216217</v>
      </c>
      <c r="ET31" s="93">
        <f>AQ105</f>
        <v>0</v>
      </c>
      <c r="EU31" s="132">
        <f>AQ106</f>
        <v>0</v>
      </c>
      <c r="EV31" s="323">
        <f t="shared" si="49"/>
        <v>1.5064935064935066</v>
      </c>
      <c r="EW31" s="323"/>
      <c r="EX31" s="324">
        <f t="shared" si="51"/>
        <v>2.000015072935065</v>
      </c>
      <c r="EY31" s="324"/>
      <c r="FB31" s="322">
        <f t="shared" si="50"/>
        <v>1.5064935064935066</v>
      </c>
      <c r="FC31" s="322"/>
      <c r="FD31" s="321">
        <f t="shared" si="52"/>
        <v>2.000015072935065</v>
      </c>
      <c r="FE31" s="321"/>
      <c r="FI31" s="93"/>
      <c r="FJ31" s="93"/>
      <c r="FK31" s="93"/>
      <c r="FL31" s="93"/>
      <c r="FM31" s="93"/>
      <c r="FN31" s="166"/>
      <c r="FO31" s="166"/>
      <c r="FP31" s="104"/>
      <c r="FQ31" s="166"/>
      <c r="FR31" s="166"/>
      <c r="FS31" s="166"/>
      <c r="FT31" s="166"/>
      <c r="FU31" s="166"/>
    </row>
    <row r="32" spans="1:177" ht="21.95" customHeight="1" x14ac:dyDescent="0.25">
      <c r="A32" s="178" t="str">
        <f>HLOOKUP($A$3,Scenario1,21,FALSE)</f>
        <v>@</v>
      </c>
      <c r="B32" s="106" t="str">
        <f>VLOOKUP($A32,joueurs,2,FALSE)</f>
        <v xml:space="preserve"> </v>
      </c>
      <c r="C32" s="329"/>
      <c r="D32" s="107"/>
      <c r="E32" s="114" t="str">
        <f>IF(E31="","",E31)</f>
        <v/>
      </c>
      <c r="F32" s="108"/>
      <c r="G32" s="225" t="str">
        <f>IF(E32="","",D32/E32)</f>
        <v/>
      </c>
      <c r="H32" s="115">
        <f>H31</f>
        <v>0</v>
      </c>
      <c r="I32" s="111" t="str">
        <f>IF(ISBLANK(D32),"",D32/E32+(F32/100))</f>
        <v/>
      </c>
      <c r="J32" s="112" t="str">
        <f>IF(ISBLANK(D32),"",IF(D32&gt;D31,2,IF(D32=D31,1,0)))</f>
        <v/>
      </c>
      <c r="K32" s="178"/>
      <c r="L32" s="178" t="str">
        <f>HLOOKUP($A$3,scenario2,19,FALSE)</f>
        <v>@</v>
      </c>
      <c r="M32" s="106" t="str">
        <f>VLOOKUP($L32,joueurs,2,FALSE)</f>
        <v xml:space="preserve"> </v>
      </c>
      <c r="N32" s="329"/>
      <c r="O32" s="108"/>
      <c r="P32" s="114" t="str">
        <f>IF(P31="","",P31)</f>
        <v/>
      </c>
      <c r="Q32" s="108"/>
      <c r="R32" s="109" t="str">
        <f>IF(P32="","",O32/P32)</f>
        <v/>
      </c>
      <c r="S32" s="115">
        <f>S31</f>
        <v>0</v>
      </c>
      <c r="T32" s="111" t="str">
        <f>IF(ISBLANK(O32),"",O32/P32+(Q32/100))</f>
        <v/>
      </c>
      <c r="U32" s="112" t="str">
        <f>IF(ISBLANK(O32),"",IF(O32&gt;O31,2,IF(O32=O31,1,0)))</f>
        <v/>
      </c>
      <c r="V32" s="134"/>
      <c r="X32" s="93" t="s">
        <v>134</v>
      </c>
      <c r="Y32" s="105">
        <f t="shared" si="54"/>
        <v>0</v>
      </c>
      <c r="Z32" s="133"/>
      <c r="AA32" s="101"/>
      <c r="AB32" s="101"/>
      <c r="AC32" s="105">
        <f t="shared" si="55"/>
        <v>1.2749999999999999</v>
      </c>
      <c r="AD32" s="133"/>
      <c r="AE32" s="101"/>
      <c r="AF32" s="101"/>
      <c r="AG32" s="105">
        <f t="shared" si="56"/>
        <v>0</v>
      </c>
      <c r="AH32" s="133"/>
      <c r="AI32" s="101"/>
      <c r="AJ32" s="101"/>
      <c r="AK32" s="105">
        <f t="shared" si="57"/>
        <v>1.6216216216216217</v>
      </c>
      <c r="AL32" s="133"/>
      <c r="AM32" s="101"/>
      <c r="AN32" s="101"/>
      <c r="AO32" s="105">
        <f t="shared" si="58"/>
        <v>0</v>
      </c>
      <c r="AP32" s="133"/>
      <c r="AQ32" s="101"/>
      <c r="AR32" s="101"/>
      <c r="AS32" s="105">
        <f t="shared" si="59"/>
        <v>0</v>
      </c>
      <c r="AT32" s="133"/>
      <c r="AU32" s="101"/>
      <c r="AV32" s="101"/>
      <c r="AW32" s="105">
        <f t="shared" si="60"/>
        <v>0</v>
      </c>
      <c r="AX32" s="133"/>
      <c r="AY32" s="101"/>
      <c r="AZ32" s="101"/>
      <c r="BA32" s="105">
        <f t="shared" si="61"/>
        <v>0</v>
      </c>
      <c r="BB32" s="133"/>
      <c r="BC32" s="101"/>
      <c r="BD32" s="101"/>
      <c r="BE32" s="105">
        <f t="shared" si="62"/>
        <v>0</v>
      </c>
      <c r="BF32" s="133"/>
      <c r="BG32" s="101"/>
      <c r="BH32" s="101"/>
      <c r="BI32" s="105">
        <f t="shared" si="63"/>
        <v>0</v>
      </c>
      <c r="BJ32" s="133"/>
      <c r="BK32" s="101"/>
      <c r="BL32" s="101"/>
      <c r="BM32" s="105">
        <f t="shared" si="64"/>
        <v>0</v>
      </c>
      <c r="BN32" s="133"/>
      <c r="BO32" s="101"/>
      <c r="BP32" s="101"/>
      <c r="BQ32" s="105">
        <f t="shared" si="65"/>
        <v>0</v>
      </c>
      <c r="BR32" s="133"/>
      <c r="BS32" s="101"/>
      <c r="BT32" s="101"/>
      <c r="BU32" s="105">
        <f t="shared" si="66"/>
        <v>0</v>
      </c>
      <c r="BV32" s="133"/>
      <c r="BW32" s="101"/>
      <c r="BX32" s="101"/>
      <c r="BY32" s="105">
        <f t="shared" si="67"/>
        <v>0</v>
      </c>
      <c r="BZ32" s="133"/>
      <c r="CA32" s="101"/>
      <c r="CB32" s="101"/>
      <c r="CC32" s="105">
        <f t="shared" si="68"/>
        <v>0</v>
      </c>
      <c r="CD32" s="133"/>
      <c r="CE32" s="101"/>
      <c r="CF32" s="101"/>
      <c r="CG32" s="105">
        <f t="shared" si="69"/>
        <v>0</v>
      </c>
      <c r="CH32" s="133"/>
      <c r="CI32" s="101"/>
      <c r="CJ32" s="101"/>
      <c r="CK32" s="105"/>
      <c r="CL32" s="133"/>
      <c r="CM32" s="101"/>
      <c r="CN32" s="102"/>
      <c r="DM32" s="166" t="s">
        <v>497</v>
      </c>
      <c r="DN32" s="166" t="s">
        <v>497</v>
      </c>
      <c r="DO32" s="166" t="s">
        <v>497</v>
      </c>
      <c r="DP32" s="166" t="s">
        <v>497</v>
      </c>
      <c r="DQ32" s="166" t="s">
        <v>497</v>
      </c>
      <c r="DT32" s="166" t="s">
        <v>497</v>
      </c>
      <c r="DU32" s="166" t="s">
        <v>497</v>
      </c>
      <c r="DV32" s="166" t="s">
        <v>497</v>
      </c>
      <c r="DW32" s="166" t="s">
        <v>497</v>
      </c>
      <c r="DX32" s="166" t="s">
        <v>497</v>
      </c>
      <c r="DY32" s="166" t="s">
        <v>497</v>
      </c>
      <c r="DZ32" s="166" t="s">
        <v>497</v>
      </c>
      <c r="EA32" s="166" t="s">
        <v>497</v>
      </c>
      <c r="EB32" s="166" t="s">
        <v>497</v>
      </c>
      <c r="EJ32" s="93">
        <v>31</v>
      </c>
      <c r="EL32" s="166">
        <f t="shared" si="53"/>
        <v>5</v>
      </c>
      <c r="EM32" s="166">
        <f>AS2</f>
        <v>6</v>
      </c>
      <c r="EN32" s="166" t="str">
        <f>AT2</f>
        <v>GERONIMI THIERRY</v>
      </c>
      <c r="EO32" s="104">
        <f>AU100</f>
        <v>91</v>
      </c>
      <c r="EP32" s="104">
        <f>AU101</f>
        <v>74</v>
      </c>
      <c r="EQ32" s="104">
        <f>AU102</f>
        <v>0</v>
      </c>
      <c r="ER32" s="104">
        <f>AU103</f>
        <v>9</v>
      </c>
      <c r="ES32" s="132">
        <f>AU104</f>
        <v>0</v>
      </c>
      <c r="ET32" s="132">
        <f>AU105</f>
        <v>0</v>
      </c>
      <c r="EU32" s="132">
        <f>AU106</f>
        <v>0</v>
      </c>
      <c r="EV32" s="323">
        <f t="shared" si="49"/>
        <v>1.2297297297297298</v>
      </c>
      <c r="EW32" s="323"/>
      <c r="EX32" s="324">
        <f t="shared" si="51"/>
        <v>1.2306297297297298E-5</v>
      </c>
      <c r="EY32" s="324"/>
      <c r="FB32" s="322">
        <f t="shared" si="50"/>
        <v>1.2297297297297298</v>
      </c>
      <c r="FC32" s="322"/>
      <c r="FD32" s="321">
        <f t="shared" si="52"/>
        <v>1.2306297297297298E-5</v>
      </c>
      <c r="FE32" s="321"/>
      <c r="FI32" s="93"/>
      <c r="FJ32" s="93"/>
      <c r="FK32" s="93"/>
      <c r="FL32" s="93"/>
      <c r="FM32" s="93"/>
      <c r="FN32" s="166"/>
      <c r="FO32" s="166"/>
      <c r="FP32" s="104"/>
      <c r="FQ32" s="166"/>
      <c r="FR32" s="166"/>
      <c r="FS32" s="166"/>
      <c r="FT32" s="166"/>
      <c r="FU32" s="166"/>
    </row>
    <row r="33" spans="1:177" ht="21.95" customHeight="1" x14ac:dyDescent="0.25">
      <c r="B33" s="42" t="s">
        <v>68</v>
      </c>
      <c r="C33" s="42" t="s">
        <v>15</v>
      </c>
      <c r="D33" s="189" t="s">
        <v>57</v>
      </c>
      <c r="E33" s="42" t="s">
        <v>69</v>
      </c>
      <c r="F33" s="42" t="s">
        <v>70</v>
      </c>
      <c r="G33" s="81" t="s">
        <v>71</v>
      </c>
      <c r="H33" s="42" t="s">
        <v>72</v>
      </c>
      <c r="I33" s="42"/>
      <c r="J33" s="42" t="s">
        <v>73</v>
      </c>
      <c r="S33" s="51"/>
      <c r="X33" s="93" t="s">
        <v>135</v>
      </c>
      <c r="Y33" s="105">
        <f t="shared" si="54"/>
        <v>1.6666666666666667</v>
      </c>
      <c r="Z33" s="133"/>
      <c r="AA33" s="101"/>
      <c r="AB33" s="101"/>
      <c r="AC33" s="105">
        <f t="shared" si="55"/>
        <v>0</v>
      </c>
      <c r="AD33" s="133"/>
      <c r="AE33" s="101"/>
      <c r="AF33" s="101"/>
      <c r="AG33" s="105">
        <f t="shared" si="56"/>
        <v>0</v>
      </c>
      <c r="AH33" s="133"/>
      <c r="AI33" s="101"/>
      <c r="AJ33" s="101"/>
      <c r="AK33" s="105">
        <f t="shared" si="57"/>
        <v>1.45</v>
      </c>
      <c r="AL33" s="133"/>
      <c r="AM33" s="101"/>
      <c r="AN33" s="101"/>
      <c r="AO33" s="105">
        <f t="shared" si="58"/>
        <v>0</v>
      </c>
      <c r="AP33" s="133"/>
      <c r="AQ33" s="101"/>
      <c r="AR33" s="101"/>
      <c r="AS33" s="105">
        <f t="shared" si="59"/>
        <v>0</v>
      </c>
      <c r="AT33" s="133"/>
      <c r="AU33" s="101"/>
      <c r="AV33" s="101"/>
      <c r="AW33" s="105">
        <f t="shared" si="60"/>
        <v>0</v>
      </c>
      <c r="AX33" s="133"/>
      <c r="AY33" s="101"/>
      <c r="AZ33" s="101"/>
      <c r="BA33" s="105">
        <f t="shared" si="61"/>
        <v>0</v>
      </c>
      <c r="BB33" s="133"/>
      <c r="BC33" s="101"/>
      <c r="BD33" s="101"/>
      <c r="BE33" s="105">
        <f t="shared" si="62"/>
        <v>0</v>
      </c>
      <c r="BF33" s="133"/>
      <c r="BG33" s="101"/>
      <c r="BH33" s="101"/>
      <c r="BI33" s="105">
        <f t="shared" si="63"/>
        <v>0</v>
      </c>
      <c r="BJ33" s="133"/>
      <c r="BK33" s="101"/>
      <c r="BL33" s="101"/>
      <c r="BM33" s="105">
        <f t="shared" si="64"/>
        <v>0</v>
      </c>
      <c r="BN33" s="133"/>
      <c r="BO33" s="101"/>
      <c r="BP33" s="101"/>
      <c r="BQ33" s="105">
        <f t="shared" si="65"/>
        <v>0</v>
      </c>
      <c r="BR33" s="133"/>
      <c r="BS33" s="101"/>
      <c r="BT33" s="101"/>
      <c r="BU33" s="105">
        <f t="shared" si="66"/>
        <v>0</v>
      </c>
      <c r="BV33" s="133"/>
      <c r="BW33" s="101"/>
      <c r="BX33" s="101"/>
      <c r="BY33" s="105">
        <f t="shared" si="67"/>
        <v>0</v>
      </c>
      <c r="BZ33" s="133"/>
      <c r="CA33" s="101"/>
      <c r="CB33" s="101"/>
      <c r="CC33" s="105">
        <f t="shared" si="68"/>
        <v>0</v>
      </c>
      <c r="CD33" s="133"/>
      <c r="CE33" s="101"/>
      <c r="CF33" s="101"/>
      <c r="CG33" s="105">
        <f t="shared" si="69"/>
        <v>0</v>
      </c>
      <c r="CH33" s="133"/>
      <c r="CI33" s="101"/>
      <c r="CJ33" s="101"/>
      <c r="CK33" s="135"/>
      <c r="CL33" s="135"/>
      <c r="CM33" s="93"/>
      <c r="CN33" s="93"/>
      <c r="EJ33" s="93">
        <v>32</v>
      </c>
      <c r="EL33" s="166">
        <f t="shared" si="53"/>
        <v>7</v>
      </c>
      <c r="EM33" s="166">
        <f>AW2</f>
        <v>0</v>
      </c>
      <c r="EN33" s="166" t="e">
        <f>AX2</f>
        <v>#N/A</v>
      </c>
      <c r="EO33" s="104">
        <f>AY100</f>
        <v>0</v>
      </c>
      <c r="EP33" s="104">
        <f>AY101</f>
        <v>0</v>
      </c>
      <c r="EQ33" s="104">
        <f>AY102</f>
        <v>0</v>
      </c>
      <c r="ER33" s="104">
        <f>AY103</f>
        <v>0</v>
      </c>
      <c r="ES33" s="132">
        <f>AY104</f>
        <v>0</v>
      </c>
      <c r="ET33" s="132">
        <f>AY105</f>
        <v>0</v>
      </c>
      <c r="EU33" s="132">
        <f>AY106</f>
        <v>0</v>
      </c>
      <c r="EV33" s="323">
        <f t="shared" si="49"/>
        <v>0</v>
      </c>
      <c r="EW33" s="323"/>
      <c r="EX33" s="324">
        <f t="shared" si="51"/>
        <v>0</v>
      </c>
      <c r="EY33" s="324"/>
      <c r="FB33" s="322" t="e">
        <f t="shared" si="50"/>
        <v>#DIV/0!</v>
      </c>
      <c r="FC33" s="322"/>
      <c r="FD33" s="321" t="e">
        <f t="shared" si="52"/>
        <v>#DIV/0!</v>
      </c>
      <c r="FE33" s="321"/>
      <c r="FI33" s="93"/>
      <c r="FJ33" s="93"/>
      <c r="FK33" s="93"/>
      <c r="FL33" s="93"/>
      <c r="FM33" s="93"/>
      <c r="FN33" s="166"/>
      <c r="FO33" s="166"/>
      <c r="FP33" s="104"/>
      <c r="FQ33" s="166"/>
      <c r="FR33" s="166"/>
      <c r="FS33" s="166"/>
      <c r="FT33" s="166"/>
      <c r="FU33" s="166"/>
    </row>
    <row r="34" spans="1:177" ht="21.95" customHeight="1" x14ac:dyDescent="0.25">
      <c r="A34" s="178" t="str">
        <f>HLOOKUP($A$3,Scenario1,23,FALSE)</f>
        <v>@</v>
      </c>
      <c r="B34" s="106" t="str">
        <f>VLOOKUP($A34,joueurs,2,FALSE)</f>
        <v xml:space="preserve"> </v>
      </c>
      <c r="C34" s="328" t="str">
        <f>HLOOKUP($A$3,TourDeJeu,40,FALSE)</f>
        <v>-</v>
      </c>
      <c r="D34" s="107"/>
      <c r="E34" s="108"/>
      <c r="F34" s="108"/>
      <c r="G34" s="225" t="str">
        <f>IF(E34="","",D34/E34)</f>
        <v/>
      </c>
      <c r="H34" s="110"/>
      <c r="I34" s="111" t="str">
        <f>IF(ISBLANK(D34),"",D34/E34+(F34/100))</f>
        <v/>
      </c>
      <c r="J34" s="112" t="str">
        <f>IF(ISBLANK(D34),"",IF(D34&gt;D35,2,IF(D34=D35,1,0)))</f>
        <v/>
      </c>
      <c r="K34" s="178"/>
      <c r="L34" s="325" t="str">
        <f>HLOOKUP($A$3,TourDeJeu2,31,FALSE)</f>
        <v>-</v>
      </c>
      <c r="M34" s="326"/>
      <c r="N34" s="326"/>
      <c r="O34" s="326"/>
      <c r="P34" s="326"/>
      <c r="Q34" s="326"/>
      <c r="R34" s="326"/>
      <c r="S34" s="326"/>
      <c r="T34" s="326"/>
      <c r="U34" s="326"/>
      <c r="V34" s="327"/>
      <c r="X34" s="93" t="s">
        <v>136</v>
      </c>
      <c r="Y34" s="105">
        <f t="shared" si="54"/>
        <v>0</v>
      </c>
      <c r="Z34" s="133"/>
      <c r="AA34" s="101"/>
      <c r="AB34" s="101"/>
      <c r="AC34" s="105">
        <f t="shared" si="55"/>
        <v>0</v>
      </c>
      <c r="AD34" s="133"/>
      <c r="AE34" s="101"/>
      <c r="AF34" s="101"/>
      <c r="AG34" s="105">
        <f t="shared" si="56"/>
        <v>0</v>
      </c>
      <c r="AH34" s="133"/>
      <c r="AI34" s="101"/>
      <c r="AJ34" s="101"/>
      <c r="AK34" s="105">
        <f t="shared" si="57"/>
        <v>0</v>
      </c>
      <c r="AL34" s="133"/>
      <c r="AM34" s="101"/>
      <c r="AN34" s="101"/>
      <c r="AO34" s="105">
        <f t="shared" si="58"/>
        <v>0</v>
      </c>
      <c r="AP34" s="133"/>
      <c r="AQ34" s="101"/>
      <c r="AR34" s="101"/>
      <c r="AS34" s="105">
        <f t="shared" si="59"/>
        <v>0</v>
      </c>
      <c r="AT34" s="133"/>
      <c r="AU34" s="101"/>
      <c r="AV34" s="101"/>
      <c r="AW34" s="105">
        <f t="shared" si="60"/>
        <v>0</v>
      </c>
      <c r="AX34" s="133"/>
      <c r="AY34" s="101"/>
      <c r="AZ34" s="101"/>
      <c r="BA34" s="105">
        <f t="shared" si="61"/>
        <v>0</v>
      </c>
      <c r="BB34" s="133"/>
      <c r="BC34" s="101"/>
      <c r="BD34" s="101"/>
      <c r="BE34" s="105">
        <f t="shared" si="62"/>
        <v>0</v>
      </c>
      <c r="BF34" s="133"/>
      <c r="BG34" s="101"/>
      <c r="BH34" s="101"/>
      <c r="BI34" s="105">
        <f t="shared" si="63"/>
        <v>0</v>
      </c>
      <c r="BJ34" s="133"/>
      <c r="BK34" s="101"/>
      <c r="BL34" s="101"/>
      <c r="BM34" s="105">
        <f t="shared" si="64"/>
        <v>0</v>
      </c>
      <c r="BN34" s="133"/>
      <c r="BO34" s="101"/>
      <c r="BP34" s="101"/>
      <c r="BQ34" s="105">
        <f t="shared" si="65"/>
        <v>0</v>
      </c>
      <c r="BR34" s="133"/>
      <c r="BS34" s="101"/>
      <c r="BT34" s="101"/>
      <c r="BU34" s="105">
        <f t="shared" si="66"/>
        <v>0</v>
      </c>
      <c r="BV34" s="133"/>
      <c r="BW34" s="101"/>
      <c r="BX34" s="101"/>
      <c r="BY34" s="105">
        <f t="shared" si="67"/>
        <v>0</v>
      </c>
      <c r="BZ34" s="133"/>
      <c r="CA34" s="101"/>
      <c r="CB34" s="101"/>
      <c r="CC34" s="105">
        <f t="shared" si="68"/>
        <v>0</v>
      </c>
      <c r="CD34" s="133"/>
      <c r="CE34" s="101"/>
      <c r="CF34" s="101"/>
      <c r="CG34" s="105">
        <f t="shared" si="69"/>
        <v>0</v>
      </c>
      <c r="CH34" s="133"/>
      <c r="CI34" s="101"/>
      <c r="CJ34" s="101"/>
      <c r="CK34" s="105"/>
      <c r="CL34" s="133"/>
      <c r="CM34" s="101"/>
      <c r="CN34" s="102"/>
      <c r="CV34" s="166">
        <f>Quota</f>
        <v>60</v>
      </c>
      <c r="CW34" s="166">
        <f>Quota</f>
        <v>60</v>
      </c>
      <c r="CX34" s="166">
        <f>Quota</f>
        <v>60</v>
      </c>
      <c r="CY34" s="166">
        <f>Quota</f>
        <v>60</v>
      </c>
      <c r="CZ34" s="166" t="s">
        <v>497</v>
      </c>
      <c r="DB34" s="166">
        <f>Quota</f>
        <v>60</v>
      </c>
      <c r="DC34" s="166">
        <f>Quota</f>
        <v>60</v>
      </c>
      <c r="DD34" s="166">
        <f>Quota</f>
        <v>60</v>
      </c>
      <c r="DE34" s="166">
        <f>Quota</f>
        <v>60</v>
      </c>
      <c r="DF34" s="166">
        <f>Quota</f>
        <v>60</v>
      </c>
      <c r="DG34" s="166">
        <f t="shared" ref="DG34:DH39" si="70">Quota</f>
        <v>60</v>
      </c>
      <c r="DH34" s="166">
        <f t="shared" si="70"/>
        <v>60</v>
      </c>
      <c r="DI34" s="166">
        <f t="shared" ref="DI34:DI41" si="71">Quota</f>
        <v>60</v>
      </c>
      <c r="DK34" s="166">
        <f t="shared" ref="DK34:DK39" si="72">Quota</f>
        <v>60</v>
      </c>
      <c r="DM34" s="166" t="s">
        <v>497</v>
      </c>
      <c r="DN34" s="166" t="s">
        <v>497</v>
      </c>
      <c r="DO34" s="166" t="s">
        <v>497</v>
      </c>
      <c r="DP34" s="166" t="s">
        <v>497</v>
      </c>
      <c r="DQ34" s="166" t="s">
        <v>497</v>
      </c>
      <c r="DS34" s="166" t="s">
        <v>497</v>
      </c>
      <c r="DT34" s="166" t="s">
        <v>497</v>
      </c>
      <c r="DU34" s="166" t="s">
        <v>497</v>
      </c>
      <c r="DV34" s="166">
        <f>quotareduit</f>
        <v>0</v>
      </c>
      <c r="DW34" s="166" t="s">
        <v>497</v>
      </c>
      <c r="DX34" s="166" t="s">
        <v>497</v>
      </c>
      <c r="DY34" s="166" t="s">
        <v>497</v>
      </c>
      <c r="DZ34" s="166">
        <f>Quota</f>
        <v>60</v>
      </c>
      <c r="EA34" s="166" t="s">
        <v>497</v>
      </c>
      <c r="EB34" s="166" t="s">
        <v>497</v>
      </c>
      <c r="EJ34" s="93">
        <v>33</v>
      </c>
      <c r="EL34" s="166">
        <f t="shared" si="53"/>
        <v>7</v>
      </c>
      <c r="EM34" s="166">
        <f>BA2</f>
        <v>0</v>
      </c>
      <c r="EN34" s="166" t="e">
        <f>BB2</f>
        <v>#N/A</v>
      </c>
      <c r="EO34" s="104">
        <f>BC100</f>
        <v>0</v>
      </c>
      <c r="EP34" s="104">
        <f>BC101</f>
        <v>0</v>
      </c>
      <c r="EQ34" s="104">
        <f>BC102</f>
        <v>0</v>
      </c>
      <c r="ER34" s="104">
        <f>BC103</f>
        <v>0</v>
      </c>
      <c r="ES34" s="132">
        <f>BC104</f>
        <v>0</v>
      </c>
      <c r="ET34" s="132">
        <f>BC105</f>
        <v>0</v>
      </c>
      <c r="EU34" s="132">
        <f>BC106</f>
        <v>0</v>
      </c>
      <c r="EV34" s="323">
        <f t="shared" si="49"/>
        <v>0</v>
      </c>
      <c r="EW34" s="323"/>
      <c r="EX34" s="324">
        <f t="shared" si="51"/>
        <v>0</v>
      </c>
      <c r="EY34" s="324"/>
      <c r="FB34" s="322" t="e">
        <f t="shared" si="50"/>
        <v>#DIV/0!</v>
      </c>
      <c r="FC34" s="322"/>
      <c r="FD34" s="321" t="e">
        <f t="shared" si="52"/>
        <v>#DIV/0!</v>
      </c>
      <c r="FE34" s="321"/>
      <c r="FI34" s="93"/>
      <c r="FJ34" s="93"/>
      <c r="FK34" s="93"/>
      <c r="FL34" s="93"/>
      <c r="FM34" s="93"/>
      <c r="FN34" s="166"/>
      <c r="FO34" s="166"/>
      <c r="FP34" s="104"/>
      <c r="FQ34" s="166"/>
      <c r="FR34" s="166"/>
      <c r="FS34" s="166"/>
      <c r="FT34" s="166"/>
      <c r="FU34" s="166"/>
    </row>
    <row r="35" spans="1:177" ht="21.95" customHeight="1" x14ac:dyDescent="0.25">
      <c r="A35" s="178" t="str">
        <f>HLOOKUP($A$3,Scenario1,24,FALSE)</f>
        <v>@</v>
      </c>
      <c r="B35" s="106" t="str">
        <f>VLOOKUP($A35,joueurs,2,FALSE)</f>
        <v xml:space="preserve"> </v>
      </c>
      <c r="C35" s="329"/>
      <c r="D35" s="107"/>
      <c r="E35" s="114" t="str">
        <f>IF(E34="","",E34)</f>
        <v/>
      </c>
      <c r="F35" s="108"/>
      <c r="G35" s="225" t="str">
        <f>IF(E35="","",D35/E35)</f>
        <v/>
      </c>
      <c r="H35" s="115">
        <f>H34</f>
        <v>0</v>
      </c>
      <c r="I35" s="111" t="str">
        <f>IF(ISBLANK(D35),"",D35/E35+(F35/100))</f>
        <v/>
      </c>
      <c r="J35" s="112" t="str">
        <f>IF(ISBLANK(D35),"",IF(D35&gt;D34,2,IF(D35=D34,1,0)))</f>
        <v/>
      </c>
      <c r="K35" s="178"/>
      <c r="M35" s="42" t="s">
        <v>68</v>
      </c>
      <c r="N35" s="42" t="s">
        <v>15</v>
      </c>
      <c r="O35" s="189" t="s">
        <v>57</v>
      </c>
      <c r="P35" s="42" t="s">
        <v>69</v>
      </c>
      <c r="Q35" s="42" t="s">
        <v>70</v>
      </c>
      <c r="R35" s="42" t="s">
        <v>71</v>
      </c>
      <c r="S35" s="42" t="s">
        <v>72</v>
      </c>
      <c r="T35" s="42"/>
      <c r="U35" s="42" t="s">
        <v>73</v>
      </c>
      <c r="V35" s="42" t="s">
        <v>111</v>
      </c>
      <c r="X35" s="93" t="s">
        <v>137</v>
      </c>
      <c r="Y35" s="105">
        <f t="shared" si="54"/>
        <v>0</v>
      </c>
      <c r="Z35" s="186"/>
      <c r="AA35" s="186"/>
      <c r="AB35" s="101"/>
      <c r="AC35" s="105">
        <f t="shared" si="55"/>
        <v>0</v>
      </c>
      <c r="AD35" s="186"/>
      <c r="AE35" s="186"/>
      <c r="AF35" s="101"/>
      <c r="AG35" s="105">
        <f t="shared" si="56"/>
        <v>0</v>
      </c>
      <c r="AH35" s="186"/>
      <c r="AI35" s="186"/>
      <c r="AJ35" s="101"/>
      <c r="AK35" s="105">
        <f t="shared" si="57"/>
        <v>0</v>
      </c>
      <c r="AL35" s="186"/>
      <c r="AM35" s="186"/>
      <c r="AN35" s="101"/>
      <c r="AO35" s="105">
        <f t="shared" si="58"/>
        <v>0</v>
      </c>
      <c r="AP35" s="186"/>
      <c r="AQ35" s="186"/>
      <c r="AR35" s="101"/>
      <c r="AS35" s="105">
        <f t="shared" si="59"/>
        <v>0</v>
      </c>
      <c r="AT35" s="186"/>
      <c r="AU35" s="186"/>
      <c r="AV35" s="101"/>
      <c r="AW35" s="105">
        <f t="shared" si="60"/>
        <v>0</v>
      </c>
      <c r="AX35" s="186"/>
      <c r="AY35" s="186"/>
      <c r="AZ35" s="101"/>
      <c r="BA35" s="105">
        <f t="shared" si="61"/>
        <v>0</v>
      </c>
      <c r="BB35" s="186"/>
      <c r="BC35" s="186"/>
      <c r="BD35" s="101"/>
      <c r="BE35" s="105">
        <f t="shared" si="62"/>
        <v>0</v>
      </c>
      <c r="BF35" s="186"/>
      <c r="BG35" s="186"/>
      <c r="BH35" s="101"/>
      <c r="BI35" s="105">
        <f t="shared" si="63"/>
        <v>0</v>
      </c>
      <c r="BJ35" s="186"/>
      <c r="BK35" s="186"/>
      <c r="BL35" s="101"/>
      <c r="BM35" s="105">
        <f t="shared" si="64"/>
        <v>0</v>
      </c>
      <c r="BN35" s="186"/>
      <c r="BO35" s="186"/>
      <c r="BP35" s="101"/>
      <c r="BQ35" s="105">
        <f t="shared" si="65"/>
        <v>0</v>
      </c>
      <c r="BR35" s="186"/>
      <c r="BS35" s="186"/>
      <c r="BT35" s="101"/>
      <c r="BU35" s="105">
        <f t="shared" si="66"/>
        <v>0</v>
      </c>
      <c r="BV35" s="186"/>
      <c r="BW35" s="186"/>
      <c r="BX35" s="101"/>
      <c r="BY35" s="105">
        <f t="shared" si="67"/>
        <v>0</v>
      </c>
      <c r="BZ35" s="186"/>
      <c r="CA35" s="186"/>
      <c r="CB35" s="101"/>
      <c r="CC35" s="105">
        <f t="shared" si="68"/>
        <v>0</v>
      </c>
      <c r="CD35" s="186"/>
      <c r="CE35" s="186"/>
      <c r="CF35" s="101"/>
      <c r="CG35" s="105">
        <f t="shared" si="69"/>
        <v>0</v>
      </c>
      <c r="CH35" s="186"/>
      <c r="CI35" s="186"/>
      <c r="CJ35" s="101"/>
      <c r="CK35" s="100"/>
      <c r="CL35" s="101"/>
      <c r="CM35" s="101"/>
      <c r="CN35" s="102"/>
      <c r="CV35" s="166" t="s">
        <v>497</v>
      </c>
      <c r="CW35" s="166" t="s">
        <v>497</v>
      </c>
      <c r="CX35" s="166" t="s">
        <v>497</v>
      </c>
      <c r="CY35" s="166">
        <f>Quota</f>
        <v>60</v>
      </c>
      <c r="CZ35" s="166" t="s">
        <v>497</v>
      </c>
      <c r="DB35" s="166" t="s">
        <v>497</v>
      </c>
      <c r="DC35" s="166" t="s">
        <v>497</v>
      </c>
      <c r="DD35" s="166">
        <f t="shared" ref="DD35:DF37" si="73">Quota</f>
        <v>60</v>
      </c>
      <c r="DE35" s="166">
        <f t="shared" si="73"/>
        <v>60</v>
      </c>
      <c r="DF35" s="166">
        <f t="shared" si="73"/>
        <v>60</v>
      </c>
      <c r="DG35" s="166">
        <f t="shared" si="70"/>
        <v>60</v>
      </c>
      <c r="DH35" s="166">
        <f t="shared" si="70"/>
        <v>60</v>
      </c>
      <c r="DI35" s="166">
        <f t="shared" si="71"/>
        <v>60</v>
      </c>
      <c r="DK35" s="166">
        <f t="shared" si="72"/>
        <v>60</v>
      </c>
      <c r="DM35" s="166" t="s">
        <v>497</v>
      </c>
      <c r="DN35" s="166" t="s">
        <v>497</v>
      </c>
      <c r="DO35" s="166" t="s">
        <v>497</v>
      </c>
      <c r="DP35" s="166" t="s">
        <v>497</v>
      </c>
      <c r="DQ35" s="166" t="s">
        <v>497</v>
      </c>
      <c r="DS35" s="166" t="s">
        <v>497</v>
      </c>
      <c r="DT35" s="166" t="s">
        <v>497</v>
      </c>
      <c r="DU35" s="166" t="s">
        <v>497</v>
      </c>
      <c r="DV35" s="166">
        <f>quotareduit</f>
        <v>0</v>
      </c>
      <c r="DW35" s="166" t="s">
        <v>497</v>
      </c>
      <c r="DX35" s="166" t="s">
        <v>497</v>
      </c>
      <c r="DY35" s="166" t="s">
        <v>497</v>
      </c>
      <c r="DZ35" s="166">
        <f>Quota</f>
        <v>60</v>
      </c>
      <c r="EA35" s="166" t="s">
        <v>497</v>
      </c>
      <c r="EB35" s="166" t="s">
        <v>497</v>
      </c>
      <c r="EJ35" s="93">
        <v>34</v>
      </c>
      <c r="EL35" s="166" t="s">
        <v>55</v>
      </c>
      <c r="EO35" s="93" t="s">
        <v>138</v>
      </c>
      <c r="FC35" s="49" t="s">
        <v>139</v>
      </c>
      <c r="FD35" s="49" t="s">
        <v>140</v>
      </c>
      <c r="FE35" s="49" t="s">
        <v>141</v>
      </c>
      <c r="FF35" s="49" t="s">
        <v>142</v>
      </c>
      <c r="FG35" s="49" t="s">
        <v>143</v>
      </c>
      <c r="FI35" s="93"/>
      <c r="FJ35" s="93"/>
      <c r="FK35" s="93"/>
      <c r="FL35" s="93"/>
      <c r="FM35" s="93"/>
      <c r="FN35" s="166"/>
      <c r="FO35" s="166"/>
      <c r="FP35" s="104"/>
      <c r="FQ35" s="166"/>
      <c r="FR35" s="166"/>
      <c r="FS35" s="166"/>
      <c r="FT35" s="166"/>
      <c r="FU35" s="166"/>
    </row>
    <row r="36" spans="1:177" ht="21.95" customHeight="1" x14ac:dyDescent="0.25">
      <c r="L36" s="178" t="str">
        <f>HLOOKUP($A$3,scenario2,20,FALSE)</f>
        <v>@</v>
      </c>
      <c r="M36" s="106" t="str">
        <f>VLOOKUP($L36,joueurs,2,FALSE)</f>
        <v xml:space="preserve"> </v>
      </c>
      <c r="N36" s="328" t="str">
        <f>HLOOKUP($A$3,TourDeJeu2,39,FALSE)</f>
        <v>-</v>
      </c>
      <c r="O36" s="108"/>
      <c r="P36" s="108"/>
      <c r="Q36" s="108"/>
      <c r="R36" s="109" t="str">
        <f>IF(P36="","",O36/P36)</f>
        <v/>
      </c>
      <c r="S36" s="110"/>
      <c r="T36" s="111" t="str">
        <f>IF(ISBLANK(O36),"",O36/P36+(Q36/100))</f>
        <v/>
      </c>
      <c r="U36" s="112" t="str">
        <f>IF(ISBLANK(O36),"",IF(O36&gt;O37,2,IF(O36=O37,1,0)))</f>
        <v/>
      </c>
      <c r="V36" s="134"/>
      <c r="X36" s="93" t="s">
        <v>144</v>
      </c>
      <c r="Y36" s="105">
        <f t="shared" si="54"/>
        <v>0</v>
      </c>
      <c r="Z36" s="186"/>
      <c r="AA36" s="186"/>
      <c r="AB36" s="101"/>
      <c r="AC36" s="105">
        <f t="shared" si="55"/>
        <v>0</v>
      </c>
      <c r="AD36" s="186"/>
      <c r="AE36" s="186"/>
      <c r="AF36" s="101"/>
      <c r="AG36" s="105">
        <f t="shared" si="56"/>
        <v>0</v>
      </c>
      <c r="AH36" s="186"/>
      <c r="AI36" s="186"/>
      <c r="AJ36" s="101"/>
      <c r="AK36" s="105">
        <f t="shared" si="57"/>
        <v>0</v>
      </c>
      <c r="AL36" s="186"/>
      <c r="AM36" s="186"/>
      <c r="AN36" s="101"/>
      <c r="AO36" s="105">
        <f t="shared" si="58"/>
        <v>0</v>
      </c>
      <c r="AP36" s="186"/>
      <c r="AQ36" s="186"/>
      <c r="AR36" s="101"/>
      <c r="AS36" s="105">
        <f t="shared" si="59"/>
        <v>0</v>
      </c>
      <c r="AT36" s="186"/>
      <c r="AU36" s="186"/>
      <c r="AV36" s="101"/>
      <c r="AW36" s="105">
        <f t="shared" si="60"/>
        <v>0</v>
      </c>
      <c r="AX36" s="186"/>
      <c r="AY36" s="186"/>
      <c r="AZ36" s="101"/>
      <c r="BA36" s="105">
        <f t="shared" si="61"/>
        <v>0</v>
      </c>
      <c r="BB36" s="186"/>
      <c r="BC36" s="186"/>
      <c r="BD36" s="101"/>
      <c r="BE36" s="105">
        <f t="shared" si="62"/>
        <v>0</v>
      </c>
      <c r="BF36" s="186"/>
      <c r="BG36" s="186"/>
      <c r="BH36" s="101"/>
      <c r="BI36" s="105">
        <f t="shared" si="63"/>
        <v>0</v>
      </c>
      <c r="BJ36" s="186"/>
      <c r="BK36" s="186"/>
      <c r="BL36" s="101"/>
      <c r="BM36" s="105">
        <f t="shared" si="64"/>
        <v>0</v>
      </c>
      <c r="BN36" s="186"/>
      <c r="BO36" s="186"/>
      <c r="BP36" s="101"/>
      <c r="BQ36" s="105">
        <f t="shared" si="65"/>
        <v>0</v>
      </c>
      <c r="BR36" s="186"/>
      <c r="BS36" s="186"/>
      <c r="BT36" s="101"/>
      <c r="BU36" s="105">
        <f t="shared" si="66"/>
        <v>0</v>
      </c>
      <c r="BV36" s="186"/>
      <c r="BW36" s="186"/>
      <c r="BX36" s="101"/>
      <c r="BY36" s="105">
        <f t="shared" si="67"/>
        <v>0</v>
      </c>
      <c r="BZ36" s="186"/>
      <c r="CA36" s="186"/>
      <c r="CB36" s="101"/>
      <c r="CC36" s="105">
        <f t="shared" si="68"/>
        <v>0</v>
      </c>
      <c r="CD36" s="186"/>
      <c r="CE36" s="186"/>
      <c r="CF36" s="101"/>
      <c r="CG36" s="105">
        <f t="shared" si="69"/>
        <v>0</v>
      </c>
      <c r="CH36" s="186"/>
      <c r="CI36" s="186"/>
      <c r="CJ36" s="101"/>
      <c r="CK36" s="100"/>
      <c r="CL36" s="101"/>
      <c r="CM36" s="101"/>
      <c r="CN36" s="102"/>
      <c r="CV36" s="166">
        <f>Quota</f>
        <v>60</v>
      </c>
      <c r="CW36" s="166">
        <f>Quota</f>
        <v>60</v>
      </c>
      <c r="CX36" s="166">
        <f>Quota</f>
        <v>60</v>
      </c>
      <c r="CY36" s="166">
        <f>Quota</f>
        <v>60</v>
      </c>
      <c r="CZ36" s="166" t="s">
        <v>497</v>
      </c>
      <c r="DB36" s="166">
        <f>Quota</f>
        <v>60</v>
      </c>
      <c r="DC36" s="166">
        <f>Quota</f>
        <v>60</v>
      </c>
      <c r="DD36" s="166">
        <f t="shared" si="73"/>
        <v>60</v>
      </c>
      <c r="DE36" s="166">
        <f t="shared" si="73"/>
        <v>60</v>
      </c>
      <c r="DF36" s="166">
        <f t="shared" si="73"/>
        <v>60</v>
      </c>
      <c r="DG36" s="166">
        <f t="shared" si="70"/>
        <v>60</v>
      </c>
      <c r="DH36" s="166">
        <f t="shared" si="70"/>
        <v>60</v>
      </c>
      <c r="DI36" s="166">
        <f t="shared" si="71"/>
        <v>60</v>
      </c>
      <c r="DK36" s="166">
        <f t="shared" si="72"/>
        <v>60</v>
      </c>
      <c r="DM36" s="166" t="s">
        <v>497</v>
      </c>
      <c r="DN36" s="166" t="s">
        <v>497</v>
      </c>
      <c r="DO36" s="166" t="s">
        <v>497</v>
      </c>
      <c r="DP36" s="166" t="s">
        <v>497</v>
      </c>
      <c r="DQ36" s="166" t="s">
        <v>497</v>
      </c>
      <c r="DS36" s="166" t="s">
        <v>497</v>
      </c>
      <c r="DT36" s="166" t="s">
        <v>497</v>
      </c>
      <c r="DU36" s="166" t="s">
        <v>497</v>
      </c>
      <c r="DV36" s="166">
        <f>quotareduit</f>
        <v>0</v>
      </c>
      <c r="DW36" s="166" t="s">
        <v>497</v>
      </c>
      <c r="DX36" s="166" t="s">
        <v>497</v>
      </c>
      <c r="DY36" s="166" t="s">
        <v>497</v>
      </c>
      <c r="DZ36" s="166" t="s">
        <v>497</v>
      </c>
      <c r="EA36" s="166" t="s">
        <v>497</v>
      </c>
      <c r="EB36" s="166" t="s">
        <v>497</v>
      </c>
      <c r="EJ36" s="93">
        <v>35</v>
      </c>
      <c r="EK36" s="166" t="str">
        <f>IF(EL36=1,"vip1",IF(EL36=2,"vip3","vip5"))</f>
        <v>vip1</v>
      </c>
      <c r="EL36" s="166">
        <f>RANK(EV36,$EV$36:$EV$38)</f>
        <v>1</v>
      </c>
      <c r="EM36" s="166">
        <f>HLOOKUP($A$3,Tb_Moyenneintermediaire,2,FALSE)</f>
        <v>1</v>
      </c>
      <c r="EN36" s="166" t="str">
        <f t="shared" ref="EN36:ES41" si="74">IF(ISERROR(FB36),0,FB36)</f>
        <v>DAVID MICHEL</v>
      </c>
      <c r="EO36" s="132">
        <f t="shared" si="74"/>
        <v>120</v>
      </c>
      <c r="EP36" s="132">
        <f t="shared" si="74"/>
        <v>74</v>
      </c>
      <c r="EQ36" s="135">
        <f t="shared" si="74"/>
        <v>4</v>
      </c>
      <c r="ER36" s="135">
        <f t="shared" si="74"/>
        <v>6</v>
      </c>
      <c r="ES36" s="191">
        <f t="shared" si="74"/>
        <v>1.6666666666666667</v>
      </c>
      <c r="ET36" s="191"/>
      <c r="EU36" s="191"/>
      <c r="EV36" s="192">
        <f t="shared" ref="EV36:EV41" si="75">IF(ISERROR(FH36),0,FH36)</f>
        <v>4.0016233482882884</v>
      </c>
      <c r="FB36" s="166" t="str">
        <f t="shared" ref="FB36:FB43" si="76">VLOOKUP($EM36,$EM$44:$EY$49,2,FALSE)</f>
        <v>DAVID MICHEL</v>
      </c>
      <c r="FC36" s="166">
        <f>VLOOKUP($EM36,$EM$44:$EY$49,3,FALSE)</f>
        <v>120</v>
      </c>
      <c r="FD36" s="166">
        <f>VLOOKUP($EM36,$EM$44:$EY$49,4,FALSE)</f>
        <v>74</v>
      </c>
      <c r="FE36" s="166">
        <f>VLOOKUP($EM36,$EM$44:$EY$49,5,FALSE)</f>
        <v>4</v>
      </c>
      <c r="FF36" s="166">
        <f>VLOOKUP($EM36,$EM$44:$EY$49,6,FALSE)</f>
        <v>6</v>
      </c>
      <c r="FG36" s="166">
        <f>VLOOKUP($EM36,$EM$44:$EY$49,7,FALSE)</f>
        <v>1.6666666666666667</v>
      </c>
      <c r="FH36" s="166">
        <f>FE36+(FI36/1000)+(FG36/1000000)+(FF36/100000000)</f>
        <v>4.0016233482882884</v>
      </c>
      <c r="FI36" s="166">
        <f>FC36/FD36</f>
        <v>1.6216216216216217</v>
      </c>
      <c r="FK36" s="93"/>
      <c r="FL36" s="93"/>
      <c r="FM36" s="93"/>
      <c r="FN36" s="166"/>
      <c r="FO36" s="166"/>
      <c r="FP36" s="104"/>
      <c r="FQ36" s="166"/>
      <c r="FR36" s="166"/>
      <c r="FS36" s="166"/>
      <c r="FT36" s="166"/>
      <c r="FU36" s="166"/>
    </row>
    <row r="37" spans="1:177" ht="21.95" customHeight="1" x14ac:dyDescent="0.25">
      <c r="L37" s="178" t="str">
        <f>HLOOKUP($A$3,scenario2,21,FALSE)</f>
        <v>@</v>
      </c>
      <c r="M37" s="106" t="str">
        <f>VLOOKUP($L37,joueurs,2,FALSE)</f>
        <v xml:space="preserve"> </v>
      </c>
      <c r="N37" s="329"/>
      <c r="O37" s="108"/>
      <c r="P37" s="114" t="str">
        <f>IF(P36="","",P36)</f>
        <v/>
      </c>
      <c r="Q37" s="108"/>
      <c r="R37" s="109" t="str">
        <f>IF(P37="","",O37/P37)</f>
        <v/>
      </c>
      <c r="S37" s="115">
        <f>S36</f>
        <v>0</v>
      </c>
      <c r="T37" s="111" t="str">
        <f>IF(ISBLANK(O37),"",O37/P37+(Q37/100))</f>
        <v/>
      </c>
      <c r="U37" s="112" t="str">
        <f>IF(ISBLANK(O37),"",IF(O37&gt;O36,2,IF(O37=O36,1,0)))</f>
        <v/>
      </c>
      <c r="V37" s="134"/>
      <c r="X37" s="93"/>
      <c r="Y37" s="100"/>
      <c r="Z37" s="136" t="s">
        <v>145</v>
      </c>
      <c r="AA37" s="128">
        <f>MAX(Y31:Y36)</f>
        <v>1.6666666666666667</v>
      </c>
      <c r="AB37" s="101"/>
      <c r="AC37" s="100"/>
      <c r="AD37" s="136" t="s">
        <v>145</v>
      </c>
      <c r="AE37" s="128">
        <f>MAX(AC31:AC36)</f>
        <v>1.2749999999999999</v>
      </c>
      <c r="AF37" s="101"/>
      <c r="AG37" s="100"/>
      <c r="AH37" s="136" t="s">
        <v>145</v>
      </c>
      <c r="AI37" s="128">
        <f>MAX(AG31:AG36)</f>
        <v>0</v>
      </c>
      <c r="AJ37" s="101"/>
      <c r="AK37" s="100"/>
      <c r="AL37" s="136" t="s">
        <v>145</v>
      </c>
      <c r="AM37" s="128">
        <f>MAX(AK31:AK36)</f>
        <v>1.6216216216216217</v>
      </c>
      <c r="AN37" s="101"/>
      <c r="AO37" s="100"/>
      <c r="AP37" s="136" t="s">
        <v>145</v>
      </c>
      <c r="AQ37" s="128">
        <f>MAX(AO31:AO36)</f>
        <v>1.6216216216216217</v>
      </c>
      <c r="AR37" s="101"/>
      <c r="AS37" s="100"/>
      <c r="AT37" s="136" t="s">
        <v>145</v>
      </c>
      <c r="AU37" s="128">
        <f>MAX(AS31:AS36)</f>
        <v>0</v>
      </c>
      <c r="AV37" s="101"/>
      <c r="AW37" s="100"/>
      <c r="AX37" s="136" t="s">
        <v>145</v>
      </c>
      <c r="AY37" s="128">
        <f>MAX(AW31:AW36)</f>
        <v>0</v>
      </c>
      <c r="AZ37" s="101"/>
      <c r="BA37" s="100"/>
      <c r="BB37" s="136" t="s">
        <v>145</v>
      </c>
      <c r="BC37" s="128">
        <f>MAX(BA31:BA36)</f>
        <v>0</v>
      </c>
      <c r="BD37" s="101"/>
      <c r="BE37" s="100"/>
      <c r="BF37" s="136" t="s">
        <v>145</v>
      </c>
      <c r="BG37" s="128">
        <f>MAX(BE31:BE36)</f>
        <v>0</v>
      </c>
      <c r="BH37" s="101"/>
      <c r="BI37" s="100"/>
      <c r="BJ37" s="136" t="s">
        <v>145</v>
      </c>
      <c r="BK37" s="128">
        <f>MAX(BI31:BI36)</f>
        <v>0</v>
      </c>
      <c r="BL37" s="101"/>
      <c r="BM37" s="100"/>
      <c r="BN37" s="136" t="s">
        <v>145</v>
      </c>
      <c r="BO37" s="128">
        <f>MAX(BM31:BM36)</f>
        <v>0</v>
      </c>
      <c r="BP37" s="101"/>
      <c r="BQ37" s="100"/>
      <c r="BR37" s="136" t="s">
        <v>145</v>
      </c>
      <c r="BS37" s="128">
        <f>MAX(BQ31:BQ36)</f>
        <v>0</v>
      </c>
      <c r="BT37" s="101"/>
      <c r="BU37" s="100"/>
      <c r="BV37" s="136" t="s">
        <v>145</v>
      </c>
      <c r="BW37" s="128">
        <f>MAX(BU31:BU36)</f>
        <v>0</v>
      </c>
      <c r="BX37" s="101"/>
      <c r="BY37" s="100"/>
      <c r="BZ37" s="136" t="s">
        <v>145</v>
      </c>
      <c r="CA37" s="128">
        <f>MAX(BY31:BY36)</f>
        <v>0</v>
      </c>
      <c r="CB37" s="101"/>
      <c r="CC37" s="100"/>
      <c r="CD37" s="136" t="s">
        <v>145</v>
      </c>
      <c r="CE37" s="128">
        <f>MAX(CC31:CC36)</f>
        <v>0</v>
      </c>
      <c r="CF37" s="101"/>
      <c r="CG37" s="100"/>
      <c r="CH37" s="136" t="s">
        <v>145</v>
      </c>
      <c r="CI37" s="128">
        <f>MAX(CG31:CG36)</f>
        <v>0</v>
      </c>
      <c r="CJ37" s="101"/>
      <c r="CK37" s="100"/>
      <c r="CL37" s="101"/>
      <c r="CM37" s="101"/>
      <c r="CN37" s="102"/>
      <c r="CV37" s="166" t="s">
        <v>497</v>
      </c>
      <c r="CW37" s="166" t="s">
        <v>497</v>
      </c>
      <c r="CX37" s="166" t="s">
        <v>497</v>
      </c>
      <c r="CY37" s="166">
        <f>Quota</f>
        <v>60</v>
      </c>
      <c r="CZ37" s="166" t="s">
        <v>497</v>
      </c>
      <c r="DB37" s="166" t="s">
        <v>497</v>
      </c>
      <c r="DC37" s="166" t="s">
        <v>497</v>
      </c>
      <c r="DD37" s="166">
        <f t="shared" si="73"/>
        <v>60</v>
      </c>
      <c r="DE37" s="166">
        <f t="shared" si="73"/>
        <v>60</v>
      </c>
      <c r="DF37" s="166">
        <f t="shared" si="73"/>
        <v>60</v>
      </c>
      <c r="DG37" s="166">
        <f t="shared" si="70"/>
        <v>60</v>
      </c>
      <c r="DH37" s="166">
        <f t="shared" si="70"/>
        <v>60</v>
      </c>
      <c r="DI37" s="166">
        <f t="shared" si="71"/>
        <v>60</v>
      </c>
      <c r="DK37" s="166">
        <f t="shared" si="72"/>
        <v>60</v>
      </c>
      <c r="DM37" s="166" t="s">
        <v>497</v>
      </c>
      <c r="DN37" s="166" t="s">
        <v>497</v>
      </c>
      <c r="DO37" s="166" t="s">
        <v>497</v>
      </c>
      <c r="DP37" s="166" t="s">
        <v>497</v>
      </c>
      <c r="DQ37" s="166" t="s">
        <v>497</v>
      </c>
      <c r="DS37" s="166" t="s">
        <v>497</v>
      </c>
      <c r="DT37" s="166" t="s">
        <v>497</v>
      </c>
      <c r="DU37" s="166" t="s">
        <v>497</v>
      </c>
      <c r="DV37" s="166">
        <f>quotareduit</f>
        <v>0</v>
      </c>
      <c r="DW37" s="166" t="s">
        <v>497</v>
      </c>
      <c r="DX37" s="166" t="s">
        <v>497</v>
      </c>
      <c r="DY37" s="166" t="s">
        <v>497</v>
      </c>
      <c r="DZ37" s="166" t="s">
        <v>497</v>
      </c>
      <c r="EA37" s="166" t="s">
        <v>497</v>
      </c>
      <c r="EB37" s="166" t="s">
        <v>497</v>
      </c>
      <c r="EJ37" s="93">
        <v>36</v>
      </c>
      <c r="EK37" s="166" t="str">
        <f>IF(EL37=1,"vip1",IF(EL37=2,"vip3","vip5"))</f>
        <v>vip3</v>
      </c>
      <c r="EL37" s="166">
        <f>RANK(EV37,$EV$36:$EV$38)</f>
        <v>2</v>
      </c>
      <c r="EM37" s="166">
        <f>HLOOKUP($A$3,Tb_Moyenneintermediaire,3,FALSE)</f>
        <v>2</v>
      </c>
      <c r="EN37" s="166" t="str">
        <f t="shared" si="74"/>
        <v>FAREZ MICHEL</v>
      </c>
      <c r="EO37" s="132">
        <f t="shared" si="74"/>
        <v>100</v>
      </c>
      <c r="EP37" s="132">
        <f t="shared" si="74"/>
        <v>76</v>
      </c>
      <c r="EQ37" s="135">
        <f t="shared" si="74"/>
        <v>2</v>
      </c>
      <c r="ER37" s="135">
        <f t="shared" si="74"/>
        <v>7</v>
      </c>
      <c r="ES37" s="191">
        <f t="shared" si="74"/>
        <v>1.2749999999999999</v>
      </c>
      <c r="ET37" s="191"/>
      <c r="EU37" s="191"/>
      <c r="EV37" s="192">
        <f t="shared" si="75"/>
        <v>2.001317134473684</v>
      </c>
      <c r="FB37" s="166" t="str">
        <f t="shared" si="76"/>
        <v>FAREZ MICHEL</v>
      </c>
      <c r="FC37" s="166">
        <f t="shared" ref="FC37:FC43" si="77">VLOOKUP($EM37,$EM$44:$EY$49,3,FALSE)</f>
        <v>100</v>
      </c>
      <c r="FD37" s="166">
        <f t="shared" ref="FD37:FD43" si="78">VLOOKUP($EM37,$EM$44:$EY$49,4,FALSE)</f>
        <v>76</v>
      </c>
      <c r="FE37" s="166">
        <f t="shared" ref="FE37:FE43" si="79">VLOOKUP($EM37,$EM$44:$EY$49,5,FALSE)</f>
        <v>2</v>
      </c>
      <c r="FF37" s="166">
        <f>VLOOKUP($EM37,$EM$44:$EY$49,6,FALSE)</f>
        <v>7</v>
      </c>
      <c r="FG37" s="166">
        <f t="shared" ref="FG37:FG43" si="80">VLOOKUP($EM37,$EM$44:$EY$49,7,FALSE)</f>
        <v>1.2749999999999999</v>
      </c>
      <c r="FH37" s="166">
        <f t="shared" ref="FH37:FH43" si="81">FE37+(FI37/1000)+(FG37/1000000)+(FF37/100000000)</f>
        <v>2.001317134473684</v>
      </c>
      <c r="FI37" s="166">
        <f t="shared" ref="FI37:FI43" si="82">FC37/FD37</f>
        <v>1.3157894736842106</v>
      </c>
      <c r="FN37" s="166"/>
      <c r="FO37" s="166"/>
      <c r="FP37" s="104"/>
      <c r="FQ37" s="166"/>
      <c r="FR37" s="166"/>
      <c r="FS37" s="166"/>
      <c r="FT37" s="166"/>
      <c r="FU37" s="166"/>
    </row>
    <row r="38" spans="1:177" ht="21" customHeight="1" x14ac:dyDescent="0.25">
      <c r="X38" s="93"/>
      <c r="Y38" s="100"/>
      <c r="Z38" s="133"/>
      <c r="AA38" s="125"/>
      <c r="AB38" s="101"/>
      <c r="AC38" s="100"/>
      <c r="AD38" s="133"/>
      <c r="AE38" s="125"/>
      <c r="AF38" s="101"/>
      <c r="AG38" s="100"/>
      <c r="AH38" s="133"/>
      <c r="AI38" s="125"/>
      <c r="AJ38" s="101"/>
      <c r="AK38" s="100"/>
      <c r="AL38" s="133"/>
      <c r="AM38" s="125"/>
      <c r="AN38" s="101"/>
      <c r="AO38" s="100"/>
      <c r="AP38" s="133"/>
      <c r="AQ38" s="125"/>
      <c r="AR38" s="101"/>
      <c r="AS38" s="100"/>
      <c r="AT38" s="133"/>
      <c r="AU38" s="125"/>
      <c r="AV38" s="101"/>
      <c r="AW38" s="100"/>
      <c r="AX38" s="133"/>
      <c r="AY38" s="125"/>
      <c r="AZ38" s="101"/>
      <c r="BA38" s="100"/>
      <c r="BB38" s="133"/>
      <c r="BC38" s="125"/>
      <c r="BD38" s="101"/>
      <c r="BE38" s="100"/>
      <c r="BF38" s="133"/>
      <c r="BG38" s="125"/>
      <c r="BH38" s="101"/>
      <c r="BI38" s="100"/>
      <c r="BJ38" s="133"/>
      <c r="BK38" s="125"/>
      <c r="BL38" s="101"/>
      <c r="BM38" s="100"/>
      <c r="BN38" s="133"/>
      <c r="BO38" s="125"/>
      <c r="BP38" s="101"/>
      <c r="BQ38" s="100"/>
      <c r="BR38" s="133"/>
      <c r="BS38" s="125"/>
      <c r="BT38" s="101"/>
      <c r="BU38" s="100"/>
      <c r="BV38" s="133"/>
      <c r="BW38" s="125"/>
      <c r="BX38" s="101"/>
      <c r="BY38" s="100"/>
      <c r="BZ38" s="133"/>
      <c r="CA38" s="125"/>
      <c r="CB38" s="101"/>
      <c r="CC38" s="100"/>
      <c r="CD38" s="133"/>
      <c r="CE38" s="125"/>
      <c r="CF38" s="101"/>
      <c r="CG38" s="100"/>
      <c r="CH38" s="133"/>
      <c r="CI38" s="125"/>
      <c r="CJ38" s="101"/>
      <c r="CK38" s="100"/>
      <c r="CL38" s="101"/>
      <c r="CM38" s="101"/>
      <c r="CN38" s="102"/>
      <c r="CV38" s="166" t="s">
        <v>497</v>
      </c>
      <c r="CW38" s="166">
        <f>Quota</f>
        <v>60</v>
      </c>
      <c r="CX38" s="166">
        <f>Quota</f>
        <v>60</v>
      </c>
      <c r="CY38" s="166">
        <f>Quota</f>
        <v>60</v>
      </c>
      <c r="CZ38" s="166" t="s">
        <v>497</v>
      </c>
      <c r="DB38" s="166">
        <f>Quota</f>
        <v>60</v>
      </c>
      <c r="DC38" s="166">
        <f>Quota</f>
        <v>60</v>
      </c>
      <c r="DD38" s="166">
        <f>Quota</f>
        <v>60</v>
      </c>
      <c r="DE38" s="166" t="s">
        <v>497</v>
      </c>
      <c r="DF38" s="166">
        <f>Quota</f>
        <v>60</v>
      </c>
      <c r="DG38" s="166">
        <f t="shared" si="70"/>
        <v>60</v>
      </c>
      <c r="DH38" s="166">
        <f t="shared" si="70"/>
        <v>60</v>
      </c>
      <c r="DI38" s="166">
        <f t="shared" si="71"/>
        <v>60</v>
      </c>
      <c r="DK38" s="166">
        <f t="shared" si="72"/>
        <v>60</v>
      </c>
      <c r="DM38" s="166" t="s">
        <v>497</v>
      </c>
      <c r="DN38" s="166" t="s">
        <v>497</v>
      </c>
      <c r="DO38" s="166" t="s">
        <v>497</v>
      </c>
      <c r="DP38" s="166" t="s">
        <v>497</v>
      </c>
      <c r="DQ38" s="166" t="s">
        <v>497</v>
      </c>
      <c r="DS38" s="166" t="s">
        <v>497</v>
      </c>
      <c r="DT38" s="166" t="s">
        <v>497</v>
      </c>
      <c r="DU38" s="166" t="s">
        <v>497</v>
      </c>
      <c r="DV38" s="166" t="s">
        <v>497</v>
      </c>
      <c r="DW38" s="166" t="s">
        <v>497</v>
      </c>
      <c r="DX38" s="166" t="s">
        <v>497</v>
      </c>
      <c r="DY38" s="166" t="s">
        <v>497</v>
      </c>
      <c r="DZ38" s="166" t="s">
        <v>497</v>
      </c>
      <c r="EA38" s="166" t="s">
        <v>497</v>
      </c>
      <c r="EB38" s="166">
        <f>Quota</f>
        <v>60</v>
      </c>
      <c r="EJ38" s="93">
        <v>37</v>
      </c>
      <c r="EK38" s="166" t="str">
        <f>IF(EL38=1,"vip1",IF(EL38=2,"vip3","vip5"))</f>
        <v>vip5</v>
      </c>
      <c r="EL38" s="166">
        <f>RANK(EV38,$EV$36:$EV$38)</f>
        <v>3</v>
      </c>
      <c r="EM38" s="166">
        <f>HLOOKUP($A$3,Tb_Moyenneintermediaire,4,FALSE)</f>
        <v>3</v>
      </c>
      <c r="EN38" s="166" t="str">
        <f t="shared" si="74"/>
        <v>LENGAIGNE DANIEL</v>
      </c>
      <c r="EO38" s="132">
        <f t="shared" si="74"/>
        <v>81</v>
      </c>
      <c r="EP38" s="132">
        <f t="shared" si="74"/>
        <v>78</v>
      </c>
      <c r="EQ38" s="135">
        <f t="shared" si="74"/>
        <v>0</v>
      </c>
      <c r="ER38" s="135">
        <f t="shared" si="74"/>
        <v>8</v>
      </c>
      <c r="ES38" s="191">
        <f>IF(ISERROR(FG38),0,FG38)</f>
        <v>0</v>
      </c>
      <c r="ET38" s="191"/>
      <c r="EU38" s="191"/>
      <c r="EV38" s="192">
        <f t="shared" si="75"/>
        <v>1.0385415384615384E-3</v>
      </c>
      <c r="FB38" s="166" t="str">
        <f t="shared" si="76"/>
        <v>LENGAIGNE DANIEL</v>
      </c>
      <c r="FC38" s="166">
        <f t="shared" si="77"/>
        <v>81</v>
      </c>
      <c r="FD38" s="166">
        <f t="shared" si="78"/>
        <v>78</v>
      </c>
      <c r="FE38" s="166">
        <f t="shared" si="79"/>
        <v>0</v>
      </c>
      <c r="FF38" s="166">
        <f t="shared" ref="FF38:FF43" si="83">VLOOKUP($EM38,$EM$44:$EY$49,6,FALSE)</f>
        <v>8</v>
      </c>
      <c r="FG38" s="166">
        <f t="shared" si="80"/>
        <v>0</v>
      </c>
      <c r="FH38" s="166">
        <f t="shared" si="81"/>
        <v>1.0385415384615384E-3</v>
      </c>
      <c r="FI38" s="166">
        <f t="shared" si="82"/>
        <v>1.0384615384615385</v>
      </c>
      <c r="FN38" s="166"/>
      <c r="FO38" s="166"/>
      <c r="FP38" s="104"/>
      <c r="FQ38" s="166"/>
      <c r="FR38" s="166"/>
      <c r="FS38" s="166"/>
      <c r="FT38" s="166"/>
      <c r="FU38" s="166"/>
    </row>
    <row r="39" spans="1:177" ht="15.75" customHeight="1" x14ac:dyDescent="0.25">
      <c r="X39" s="93" t="s">
        <v>146</v>
      </c>
      <c r="Y39" s="100">
        <f>VLOOKUP(Z$2,Poule1,5,FALSE)</f>
        <v>6</v>
      </c>
      <c r="Z39" s="101"/>
      <c r="AA39" s="101">
        <f t="shared" ref="AA39:AA44" si="84">IF(ISERROR(Y39),0,Y39)</f>
        <v>6</v>
      </c>
      <c r="AB39" s="102"/>
      <c r="AC39" s="100" t="e">
        <f>VLOOKUP(AD$2,Poule1,5,FALSE)</f>
        <v>#N/A</v>
      </c>
      <c r="AD39" s="101"/>
      <c r="AE39" s="101">
        <f t="shared" ref="AE39:AE44" si="85">IF(ISERROR(AC39),0,AC39)</f>
        <v>0</v>
      </c>
      <c r="AF39" s="102"/>
      <c r="AG39" s="100">
        <f>VLOOKUP(AH$2,Poule1,5,FALSE)</f>
        <v>6</v>
      </c>
      <c r="AH39" s="101"/>
      <c r="AI39" s="101">
        <f t="shared" ref="AI39:AI44" si="86">IF(ISERROR(AG39),0,AG39)</f>
        <v>6</v>
      </c>
      <c r="AJ39" s="102"/>
      <c r="AK39" s="100" t="e">
        <f>VLOOKUP(AL$2,Poule1,5,FALSE)</f>
        <v>#N/A</v>
      </c>
      <c r="AL39" s="101"/>
      <c r="AM39" s="101">
        <f t="shared" ref="AM39:AM44" si="87">IF(ISERROR(AK39),0,AK39)</f>
        <v>0</v>
      </c>
      <c r="AN39" s="102"/>
      <c r="AO39" s="100">
        <f>VLOOKUP(AP$2,Poule1,5,FALSE)</f>
        <v>8</v>
      </c>
      <c r="AP39" s="101"/>
      <c r="AQ39" s="101">
        <f t="shared" ref="AQ39:AQ44" si="88">IF(ISERROR(AO39),0,AO39)</f>
        <v>8</v>
      </c>
      <c r="AR39" s="102"/>
      <c r="AS39" s="100">
        <f>VLOOKUP(AT$2,Poule1,5,FALSE)</f>
        <v>9</v>
      </c>
      <c r="AT39" s="101"/>
      <c r="AU39" s="101">
        <f t="shared" ref="AU39:AU44" si="89">IF(ISERROR(AS39),0,AS39)</f>
        <v>9</v>
      </c>
      <c r="AV39" s="102"/>
      <c r="AW39" s="100" t="e">
        <f>VLOOKUP(AX$2,Poule1,5,FALSE)</f>
        <v>#N/A</v>
      </c>
      <c r="AX39" s="101"/>
      <c r="AY39" s="101">
        <f t="shared" ref="AY39:AY44" si="90">IF(ISERROR(AW39),0,AW39)</f>
        <v>0</v>
      </c>
      <c r="AZ39" s="102"/>
      <c r="BA39" s="100" t="e">
        <f>VLOOKUP(BB$2,Poule1,5,FALSE)</f>
        <v>#N/A</v>
      </c>
      <c r="BB39" s="101"/>
      <c r="BC39" s="101">
        <f t="shared" ref="BC39:BC44" si="91">IF(ISERROR(BA39),0,BA39)</f>
        <v>0</v>
      </c>
      <c r="BD39" s="102"/>
      <c r="BE39" s="100" t="e">
        <f>VLOOKUP(BF$2,Poule1,5,FALSE)</f>
        <v>#N/A</v>
      </c>
      <c r="BF39" s="101"/>
      <c r="BG39" s="101">
        <f t="shared" ref="BG39:BG44" si="92">IF(ISERROR(BE39),0,BE39)</f>
        <v>0</v>
      </c>
      <c r="BH39" s="102"/>
      <c r="BI39" s="100" t="e">
        <f>VLOOKUP(BJ$2,Poule1,5,FALSE)</f>
        <v>#N/A</v>
      </c>
      <c r="BJ39" s="101"/>
      <c r="BK39" s="101">
        <f t="shared" ref="BK39:BK44" si="93">IF(ISERROR(BI39),0,BI39)</f>
        <v>0</v>
      </c>
      <c r="BL39" s="102"/>
      <c r="BM39" s="100" t="e">
        <f>VLOOKUP(BN$2,Poule1,5,FALSE)</f>
        <v>#N/A</v>
      </c>
      <c r="BN39" s="101"/>
      <c r="BO39" s="101">
        <f t="shared" ref="BO39:BO44" si="94">IF(ISERROR(BM39),0,BM39)</f>
        <v>0</v>
      </c>
      <c r="BP39" s="102"/>
      <c r="BQ39" s="100" t="e">
        <f>VLOOKUP(BR$2,Poule1,5,FALSE)</f>
        <v>#N/A</v>
      </c>
      <c r="BR39" s="101"/>
      <c r="BS39" s="101">
        <f t="shared" ref="BS39:BS44" si="95">IF(ISERROR(BQ39),0,BQ39)</f>
        <v>0</v>
      </c>
      <c r="BT39" s="102"/>
      <c r="BU39" s="100" t="e">
        <f>VLOOKUP(BV$2,Poule1,5,FALSE)</f>
        <v>#N/A</v>
      </c>
      <c r="BV39" s="101"/>
      <c r="BW39" s="101">
        <f t="shared" ref="BW39:BW44" si="96">IF(ISERROR(BU39),0,BU39)</f>
        <v>0</v>
      </c>
      <c r="BX39" s="102"/>
      <c r="BY39" s="100" t="e">
        <f>VLOOKUP(BZ$2,Poule1,5,FALSE)</f>
        <v>#N/A</v>
      </c>
      <c r="BZ39" s="101"/>
      <c r="CA39" s="101">
        <f t="shared" ref="CA39:CA44" si="97">IF(ISERROR(BY39),0,BY39)</f>
        <v>0</v>
      </c>
      <c r="CB39" s="102"/>
      <c r="CC39" s="100" t="e">
        <f>VLOOKUP(CD$2,Poule1,5,FALSE)</f>
        <v>#N/A</v>
      </c>
      <c r="CD39" s="101"/>
      <c r="CE39" s="101">
        <f t="shared" ref="CE39:CE44" si="98">IF(ISERROR(CC39),0,CC39)</f>
        <v>0</v>
      </c>
      <c r="CF39" s="102"/>
      <c r="CG39" s="100" t="e">
        <f>VLOOKUP(CH$2,Poule1,5,FALSE)</f>
        <v>#N/A</v>
      </c>
      <c r="CH39" s="101"/>
      <c r="CI39" s="101">
        <f t="shared" ref="CI39:CI44" si="99">IF(ISERROR(CG39),0,CG39)</f>
        <v>0</v>
      </c>
      <c r="CJ39" s="102"/>
      <c r="CK39" s="100"/>
      <c r="CL39" s="101"/>
      <c r="CM39" s="101"/>
      <c r="CN39" s="102"/>
      <c r="CV39" s="166" t="s">
        <v>497</v>
      </c>
      <c r="CW39" s="166" t="s">
        <v>497</v>
      </c>
      <c r="CX39" s="166" t="s">
        <v>497</v>
      </c>
      <c r="CY39" s="166">
        <f>Quota</f>
        <v>60</v>
      </c>
      <c r="CZ39" s="166" t="s">
        <v>497</v>
      </c>
      <c r="DB39" s="166" t="s">
        <v>497</v>
      </c>
      <c r="DC39" s="166" t="s">
        <v>497</v>
      </c>
      <c r="DD39" s="166">
        <f>Quota</f>
        <v>60</v>
      </c>
      <c r="DE39" s="166" t="s">
        <v>497</v>
      </c>
      <c r="DF39" s="166">
        <f>Quota</f>
        <v>60</v>
      </c>
      <c r="DG39" s="166">
        <f t="shared" si="70"/>
        <v>60</v>
      </c>
      <c r="DH39" s="166" t="s">
        <v>497</v>
      </c>
      <c r="DI39" s="166">
        <f t="shared" si="71"/>
        <v>60</v>
      </c>
      <c r="DK39" s="166">
        <f t="shared" si="72"/>
        <v>60</v>
      </c>
      <c r="DM39" s="166" t="s">
        <v>497</v>
      </c>
      <c r="DN39" s="166" t="s">
        <v>497</v>
      </c>
      <c r="DO39" s="166" t="s">
        <v>497</v>
      </c>
      <c r="DP39" s="166" t="s">
        <v>497</v>
      </c>
      <c r="DQ39" s="166" t="s">
        <v>497</v>
      </c>
      <c r="DS39" s="166" t="s">
        <v>497</v>
      </c>
      <c r="DT39" s="166" t="s">
        <v>497</v>
      </c>
      <c r="DU39" s="166" t="s">
        <v>497</v>
      </c>
      <c r="DV39" s="166" t="s">
        <v>497</v>
      </c>
      <c r="DW39" s="166" t="s">
        <v>497</v>
      </c>
      <c r="DX39" s="166" t="s">
        <v>497</v>
      </c>
      <c r="DY39" s="166" t="s">
        <v>497</v>
      </c>
      <c r="DZ39" s="166" t="s">
        <v>497</v>
      </c>
      <c r="EA39" s="166" t="s">
        <v>497</v>
      </c>
      <c r="EB39" s="166">
        <f>Quota</f>
        <v>60</v>
      </c>
      <c r="EJ39" s="93">
        <v>37</v>
      </c>
      <c r="EK39" s="166" t="str">
        <f>IF(EL39=1,"vip2",IF(EL39=2,"vip4","vip6"))</f>
        <v>vip2</v>
      </c>
      <c r="EL39" s="166">
        <f>RANK(EV39,$EV$39:$EV$41)</f>
        <v>1</v>
      </c>
      <c r="EM39" s="166">
        <f>HLOOKUP($A$3,Tb_Moyenneintermediaire,5,FALSE)</f>
        <v>4</v>
      </c>
      <c r="EN39" s="166" t="str">
        <f t="shared" si="74"/>
        <v>BLANCHARD THIERRY</v>
      </c>
      <c r="EO39" s="132">
        <f t="shared" si="74"/>
        <v>118</v>
      </c>
      <c r="EP39" s="132">
        <f t="shared" si="74"/>
        <v>77</v>
      </c>
      <c r="EQ39" s="135">
        <f t="shared" si="74"/>
        <v>4</v>
      </c>
      <c r="ER39" s="135">
        <f t="shared" si="74"/>
        <v>14</v>
      </c>
      <c r="ES39" s="191">
        <f t="shared" si="74"/>
        <v>1.6216216216216217</v>
      </c>
      <c r="ET39" s="191"/>
      <c r="EU39" s="191"/>
      <c r="EV39" s="192">
        <f t="shared" si="75"/>
        <v>4.0015342291540899</v>
      </c>
      <c r="FB39" s="166" t="str">
        <f t="shared" si="76"/>
        <v>BLANCHARD THIERRY</v>
      </c>
      <c r="FC39" s="166">
        <f t="shared" si="77"/>
        <v>118</v>
      </c>
      <c r="FD39" s="166">
        <f t="shared" si="78"/>
        <v>77</v>
      </c>
      <c r="FE39" s="166">
        <f t="shared" si="79"/>
        <v>4</v>
      </c>
      <c r="FF39" s="166">
        <f t="shared" si="83"/>
        <v>14</v>
      </c>
      <c r="FG39" s="166">
        <f t="shared" si="80"/>
        <v>1.6216216216216217</v>
      </c>
      <c r="FH39" s="166">
        <f t="shared" si="81"/>
        <v>4.0015342291540899</v>
      </c>
      <c r="FI39" s="166">
        <f t="shared" si="82"/>
        <v>1.5324675324675325</v>
      </c>
      <c r="FN39" s="166"/>
      <c r="FO39" s="166"/>
      <c r="FP39" s="104"/>
      <c r="FQ39" s="166"/>
      <c r="FR39" s="166"/>
      <c r="FS39" s="166"/>
      <c r="FT39" s="166"/>
      <c r="FU39" s="166"/>
    </row>
    <row r="40" spans="1:177" ht="21.75" customHeight="1" x14ac:dyDescent="0.25">
      <c r="X40" s="93" t="s">
        <v>147</v>
      </c>
      <c r="Y40" s="100" t="e">
        <f>VLOOKUP(Z$2,poule2,5,FALSE)</f>
        <v>#N/A</v>
      </c>
      <c r="Z40" s="101"/>
      <c r="AA40" s="101">
        <f t="shared" si="84"/>
        <v>0</v>
      </c>
      <c r="AB40" s="101"/>
      <c r="AC40" s="100">
        <f>VLOOKUP(AD$2,poule2,5,FALSE)</f>
        <v>5</v>
      </c>
      <c r="AD40" s="101"/>
      <c r="AE40" s="101">
        <f t="shared" si="85"/>
        <v>5</v>
      </c>
      <c r="AF40" s="101"/>
      <c r="AG40" s="100">
        <f>VLOOKUP(AH$2,poule2,5,FALSE)</f>
        <v>8</v>
      </c>
      <c r="AH40" s="101"/>
      <c r="AI40" s="101">
        <f t="shared" si="86"/>
        <v>8</v>
      </c>
      <c r="AJ40" s="101"/>
      <c r="AK40" s="100">
        <f>VLOOKUP(AL$2,poule2,5,FALSE)</f>
        <v>11</v>
      </c>
      <c r="AL40" s="101"/>
      <c r="AM40" s="101">
        <f t="shared" si="87"/>
        <v>11</v>
      </c>
      <c r="AN40" s="101"/>
      <c r="AO40" s="100" t="e">
        <f>VLOOKUP(AP$2,poule2,5,FALSE)</f>
        <v>#N/A</v>
      </c>
      <c r="AP40" s="101"/>
      <c r="AQ40" s="101">
        <f t="shared" si="88"/>
        <v>0</v>
      </c>
      <c r="AR40" s="101"/>
      <c r="AS40" s="100">
        <f>VLOOKUP(AT$2,poule2,5,FALSE)</f>
        <v>5</v>
      </c>
      <c r="AT40" s="101"/>
      <c r="AU40" s="101">
        <f t="shared" si="89"/>
        <v>5</v>
      </c>
      <c r="AV40" s="101"/>
      <c r="AW40" s="100" t="e">
        <f>VLOOKUP(AX$2,poule2,5,FALSE)</f>
        <v>#N/A</v>
      </c>
      <c r="AX40" s="101"/>
      <c r="AY40" s="101">
        <f t="shared" si="90"/>
        <v>0</v>
      </c>
      <c r="AZ40" s="101"/>
      <c r="BA40" s="100" t="e">
        <f>VLOOKUP(BB$2,poule2,5,FALSE)</f>
        <v>#N/A</v>
      </c>
      <c r="BB40" s="101"/>
      <c r="BC40" s="101">
        <f t="shared" si="91"/>
        <v>0</v>
      </c>
      <c r="BD40" s="101"/>
      <c r="BE40" s="100" t="e">
        <f>VLOOKUP(BF$2,poule2,5,FALSE)</f>
        <v>#N/A</v>
      </c>
      <c r="BF40" s="101"/>
      <c r="BG40" s="101">
        <f t="shared" si="92"/>
        <v>0</v>
      </c>
      <c r="BH40" s="101"/>
      <c r="BI40" s="100" t="e">
        <f>VLOOKUP(BJ$2,poule2,5,FALSE)</f>
        <v>#N/A</v>
      </c>
      <c r="BJ40" s="101"/>
      <c r="BK40" s="101">
        <f t="shared" si="93"/>
        <v>0</v>
      </c>
      <c r="BL40" s="101"/>
      <c r="BM40" s="100" t="e">
        <f>VLOOKUP(BN$2,poule2,5,FALSE)</f>
        <v>#N/A</v>
      </c>
      <c r="BN40" s="101"/>
      <c r="BO40" s="101">
        <f t="shared" si="94"/>
        <v>0</v>
      </c>
      <c r="BP40" s="101"/>
      <c r="BQ40" s="100" t="e">
        <f>VLOOKUP(BR$2,poule2,5,FALSE)</f>
        <v>#N/A</v>
      </c>
      <c r="BR40" s="101"/>
      <c r="BS40" s="101">
        <f t="shared" si="95"/>
        <v>0</v>
      </c>
      <c r="BT40" s="101"/>
      <c r="BU40" s="100" t="e">
        <f>VLOOKUP(BV$2,poule2,5,FALSE)</f>
        <v>#N/A</v>
      </c>
      <c r="BV40" s="101"/>
      <c r="BW40" s="101">
        <f t="shared" si="96"/>
        <v>0</v>
      </c>
      <c r="BX40" s="101"/>
      <c r="BY40" s="100" t="e">
        <f>VLOOKUP(BZ$2,poule2,5,FALSE)</f>
        <v>#N/A</v>
      </c>
      <c r="BZ40" s="101"/>
      <c r="CA40" s="101">
        <f t="shared" si="97"/>
        <v>0</v>
      </c>
      <c r="CB40" s="101"/>
      <c r="CC40" s="100" t="e">
        <f>VLOOKUP(CD$2,poule2,5,FALSE)</f>
        <v>#N/A</v>
      </c>
      <c r="CD40" s="101"/>
      <c r="CE40" s="101">
        <f t="shared" si="98"/>
        <v>0</v>
      </c>
      <c r="CF40" s="101"/>
      <c r="CG40" s="100" t="e">
        <f>VLOOKUP(CH$2,poule2,5,FALSE)</f>
        <v>#N/A</v>
      </c>
      <c r="CH40" s="101"/>
      <c r="CI40" s="101">
        <f t="shared" si="99"/>
        <v>0</v>
      </c>
      <c r="CJ40" s="101"/>
      <c r="CK40" s="100"/>
      <c r="CL40" s="101"/>
      <c r="CM40" s="101"/>
      <c r="CN40" s="102"/>
      <c r="CV40" s="166" t="s">
        <v>497</v>
      </c>
      <c r="CW40" s="166" t="s">
        <v>497</v>
      </c>
      <c r="CX40" s="166" t="s">
        <v>497</v>
      </c>
      <c r="CY40" s="166" t="s">
        <v>497</v>
      </c>
      <c r="CZ40" s="166" t="s">
        <v>497</v>
      </c>
      <c r="DB40" s="166" t="s">
        <v>497</v>
      </c>
      <c r="DC40" s="166" t="s">
        <v>497</v>
      </c>
      <c r="DD40" s="166" t="s">
        <v>497</v>
      </c>
      <c r="DE40" s="166">
        <f>Quota</f>
        <v>60</v>
      </c>
      <c r="DF40" s="166" t="s">
        <v>497</v>
      </c>
      <c r="DG40" s="166" t="s">
        <v>497</v>
      </c>
      <c r="DH40" s="166" t="s">
        <v>497</v>
      </c>
      <c r="DI40" s="166">
        <f t="shared" si="71"/>
        <v>60</v>
      </c>
      <c r="DK40" s="166" t="s">
        <v>497</v>
      </c>
      <c r="DM40" s="166" t="s">
        <v>497</v>
      </c>
      <c r="DN40" s="166" t="s">
        <v>497</v>
      </c>
      <c r="DO40" s="166" t="s">
        <v>497</v>
      </c>
      <c r="DP40" s="166" t="s">
        <v>497</v>
      </c>
      <c r="DQ40" s="166" t="s">
        <v>497</v>
      </c>
      <c r="DS40" s="166" t="s">
        <v>497</v>
      </c>
      <c r="DT40" s="166" t="s">
        <v>497</v>
      </c>
      <c r="DU40" s="166" t="s">
        <v>497</v>
      </c>
      <c r="DV40" s="166" t="s">
        <v>497</v>
      </c>
      <c r="DW40" s="166" t="s">
        <v>497</v>
      </c>
      <c r="DX40" s="166" t="s">
        <v>497</v>
      </c>
      <c r="DY40" s="166" t="s">
        <v>497</v>
      </c>
      <c r="DZ40" s="166" t="s">
        <v>497</v>
      </c>
      <c r="EA40" s="166" t="s">
        <v>497</v>
      </c>
      <c r="EB40" s="166">
        <f>Quota</f>
        <v>60</v>
      </c>
      <c r="EJ40" s="93">
        <v>38</v>
      </c>
      <c r="EK40" s="166" t="str">
        <f>IF(EL40=1,"vip2",IF(EL40=2,"vip4","vip6"))</f>
        <v>vip4</v>
      </c>
      <c r="EL40" s="166">
        <f>RANK(EV40,$EV$39:$EV$41)</f>
        <v>2</v>
      </c>
      <c r="EM40" s="166">
        <f>HLOOKUP($A$3,Tb_Moyenneintermediaire,6,FALSE)</f>
        <v>5</v>
      </c>
      <c r="EN40" s="166" t="str">
        <f t="shared" si="74"/>
        <v>CARDON CHRISTIAN</v>
      </c>
      <c r="EO40" s="132">
        <f t="shared" si="74"/>
        <v>116</v>
      </c>
      <c r="EP40" s="132">
        <f t="shared" si="74"/>
        <v>77</v>
      </c>
      <c r="EQ40" s="135">
        <f t="shared" si="74"/>
        <v>2</v>
      </c>
      <c r="ER40" s="135">
        <f>IF(ISERROR(FF40),0,FF40)</f>
        <v>8</v>
      </c>
      <c r="ES40" s="191">
        <f t="shared" si="74"/>
        <v>1.6216216216216217</v>
      </c>
      <c r="ET40" s="191"/>
      <c r="EU40" s="191"/>
      <c r="EV40" s="192">
        <f t="shared" si="75"/>
        <v>2.0015081951281148</v>
      </c>
      <c r="FB40" s="166" t="str">
        <f t="shared" si="76"/>
        <v>CARDON CHRISTIAN</v>
      </c>
      <c r="FC40" s="166">
        <f t="shared" si="77"/>
        <v>116</v>
      </c>
      <c r="FD40" s="166">
        <f t="shared" si="78"/>
        <v>77</v>
      </c>
      <c r="FE40" s="166">
        <f t="shared" si="79"/>
        <v>2</v>
      </c>
      <c r="FF40" s="166">
        <f t="shared" si="83"/>
        <v>8</v>
      </c>
      <c r="FG40" s="166">
        <f t="shared" si="80"/>
        <v>1.6216216216216217</v>
      </c>
      <c r="FH40" s="166">
        <f t="shared" si="81"/>
        <v>2.0015081951281148</v>
      </c>
      <c r="FI40" s="166">
        <f t="shared" si="82"/>
        <v>1.5064935064935066</v>
      </c>
      <c r="FN40" s="166"/>
      <c r="FO40" s="166"/>
      <c r="FP40" s="104"/>
      <c r="FQ40" s="166"/>
      <c r="FR40" s="166"/>
      <c r="FS40" s="166"/>
      <c r="FT40" s="166"/>
      <c r="FU40" s="166"/>
    </row>
    <row r="41" spans="1:177" ht="21" customHeight="1" x14ac:dyDescent="0.25">
      <c r="X41" s="93" t="s">
        <v>148</v>
      </c>
      <c r="Y41" s="105">
        <f>VLOOKUP(Z$2,poule3,5,FALSE)</f>
        <v>5</v>
      </c>
      <c r="Z41" s="101"/>
      <c r="AA41" s="101">
        <f t="shared" si="84"/>
        <v>5</v>
      </c>
      <c r="AB41" s="102"/>
      <c r="AC41" s="105">
        <f>VLOOKUP(AD$2,poule3,5,FALSE)</f>
        <v>7</v>
      </c>
      <c r="AD41" s="101"/>
      <c r="AE41" s="101">
        <f t="shared" si="85"/>
        <v>7</v>
      </c>
      <c r="AF41" s="102"/>
      <c r="AG41" s="105" t="e">
        <f>VLOOKUP(AH$2,poule3,5,FALSE)</f>
        <v>#N/A</v>
      </c>
      <c r="AH41" s="101"/>
      <c r="AI41" s="101">
        <f t="shared" si="86"/>
        <v>0</v>
      </c>
      <c r="AJ41" s="102"/>
      <c r="AK41" s="105">
        <f>VLOOKUP(AL$2,poule3,5,FALSE)</f>
        <v>14</v>
      </c>
      <c r="AL41" s="101"/>
      <c r="AM41" s="101">
        <f t="shared" si="87"/>
        <v>14</v>
      </c>
      <c r="AN41" s="102"/>
      <c r="AO41" s="105">
        <f>VLOOKUP(AP$2,poule3,5,FALSE)</f>
        <v>0</v>
      </c>
      <c r="AP41" s="101"/>
      <c r="AQ41" s="101">
        <f t="shared" si="88"/>
        <v>0</v>
      </c>
      <c r="AR41" s="102"/>
      <c r="AS41" s="105" t="e">
        <f>VLOOKUP(AT$2,poule3,5,FALSE)</f>
        <v>#N/A</v>
      </c>
      <c r="AT41" s="101"/>
      <c r="AU41" s="101">
        <f t="shared" si="89"/>
        <v>0</v>
      </c>
      <c r="AV41" s="102"/>
      <c r="AW41" s="105" t="e">
        <f>VLOOKUP(AX$2,poule3,5,FALSE)</f>
        <v>#N/A</v>
      </c>
      <c r="AX41" s="101"/>
      <c r="AY41" s="101">
        <f t="shared" si="90"/>
        <v>0</v>
      </c>
      <c r="AZ41" s="102"/>
      <c r="BA41" s="105" t="e">
        <f>VLOOKUP(BB$2,poule3,5,FALSE)</f>
        <v>#N/A</v>
      </c>
      <c r="BB41" s="101"/>
      <c r="BC41" s="101">
        <f t="shared" si="91"/>
        <v>0</v>
      </c>
      <c r="BD41" s="102"/>
      <c r="BE41" s="105" t="e">
        <f>VLOOKUP(BF$2,poule3,5,FALSE)</f>
        <v>#N/A</v>
      </c>
      <c r="BF41" s="101"/>
      <c r="BG41" s="101">
        <f t="shared" si="92"/>
        <v>0</v>
      </c>
      <c r="BH41" s="102"/>
      <c r="BI41" s="105" t="e">
        <f>VLOOKUP(BJ$2,poule3,5,FALSE)</f>
        <v>#N/A</v>
      </c>
      <c r="BJ41" s="101"/>
      <c r="BK41" s="101">
        <f t="shared" si="93"/>
        <v>0</v>
      </c>
      <c r="BL41" s="102"/>
      <c r="BM41" s="105" t="e">
        <f>VLOOKUP(BN$2,poule3,5,FALSE)</f>
        <v>#N/A</v>
      </c>
      <c r="BN41" s="101"/>
      <c r="BO41" s="101">
        <f t="shared" si="94"/>
        <v>0</v>
      </c>
      <c r="BP41" s="102"/>
      <c r="BQ41" s="105" t="e">
        <f>VLOOKUP(BR$2,poule3,5,FALSE)</f>
        <v>#N/A</v>
      </c>
      <c r="BR41" s="101"/>
      <c r="BS41" s="101">
        <f t="shared" si="95"/>
        <v>0</v>
      </c>
      <c r="BT41" s="102"/>
      <c r="BU41" s="105" t="e">
        <f>VLOOKUP(BV$2,poule3,5,FALSE)</f>
        <v>#N/A</v>
      </c>
      <c r="BV41" s="101"/>
      <c r="BW41" s="101">
        <f t="shared" si="96"/>
        <v>0</v>
      </c>
      <c r="BX41" s="102"/>
      <c r="BY41" s="105" t="e">
        <f>VLOOKUP(BZ$2,poule3,5,FALSE)</f>
        <v>#N/A</v>
      </c>
      <c r="BZ41" s="101"/>
      <c r="CA41" s="101">
        <f t="shared" si="97"/>
        <v>0</v>
      </c>
      <c r="CB41" s="102"/>
      <c r="CC41" s="105" t="e">
        <f>VLOOKUP(CD$2,poule3,5,FALSE)</f>
        <v>#N/A</v>
      </c>
      <c r="CD41" s="101"/>
      <c r="CE41" s="101">
        <f t="shared" si="98"/>
        <v>0</v>
      </c>
      <c r="CF41" s="102"/>
      <c r="CG41" s="105" t="e">
        <f>VLOOKUP(CH$2,poule3,5,FALSE)</f>
        <v>#N/A</v>
      </c>
      <c r="CH41" s="101"/>
      <c r="CI41" s="101">
        <f t="shared" si="99"/>
        <v>0</v>
      </c>
      <c r="CJ41" s="102"/>
      <c r="CK41" s="105"/>
      <c r="CL41" s="101"/>
      <c r="CM41" s="101"/>
      <c r="CN41" s="102"/>
      <c r="CV41" s="166" t="s">
        <v>497</v>
      </c>
      <c r="CW41" s="166" t="s">
        <v>497</v>
      </c>
      <c r="CX41" s="166" t="s">
        <v>497</v>
      </c>
      <c r="CY41" s="166" t="s">
        <v>497</v>
      </c>
      <c r="CZ41" s="166" t="s">
        <v>497</v>
      </c>
      <c r="DB41" s="166" t="s">
        <v>497</v>
      </c>
      <c r="DC41" s="166" t="s">
        <v>497</v>
      </c>
      <c r="DD41" s="166" t="s">
        <v>497</v>
      </c>
      <c r="DE41" s="166">
        <f>Quota</f>
        <v>60</v>
      </c>
      <c r="DF41" s="166" t="s">
        <v>497</v>
      </c>
      <c r="DG41" s="166" t="s">
        <v>497</v>
      </c>
      <c r="DH41" s="166" t="s">
        <v>497</v>
      </c>
      <c r="DI41" s="166">
        <f t="shared" si="71"/>
        <v>60</v>
      </c>
      <c r="DK41" s="166" t="s">
        <v>497</v>
      </c>
      <c r="DM41" s="166" t="s">
        <v>497</v>
      </c>
      <c r="DN41" s="166" t="s">
        <v>497</v>
      </c>
      <c r="DO41" s="166" t="s">
        <v>497</v>
      </c>
      <c r="DP41" s="166" t="s">
        <v>497</v>
      </c>
      <c r="DQ41" s="166" t="s">
        <v>497</v>
      </c>
      <c r="DS41" s="166" t="s">
        <v>497</v>
      </c>
      <c r="DT41" s="166" t="s">
        <v>497</v>
      </c>
      <c r="DU41" s="166" t="s">
        <v>497</v>
      </c>
      <c r="DV41" s="166" t="s">
        <v>497</v>
      </c>
      <c r="DW41" s="166" t="s">
        <v>497</v>
      </c>
      <c r="DX41" s="166" t="s">
        <v>497</v>
      </c>
      <c r="DY41" s="166" t="s">
        <v>497</v>
      </c>
      <c r="DZ41" s="166" t="s">
        <v>497</v>
      </c>
      <c r="EA41" s="166" t="s">
        <v>497</v>
      </c>
      <c r="EB41" s="166">
        <f>Quota</f>
        <v>60</v>
      </c>
      <c r="EJ41" s="93">
        <v>39</v>
      </c>
      <c r="EK41" s="166" t="str">
        <f>IF(EL41=1,"vip2",IF(EL41=2,"vip4","vip6"))</f>
        <v>vip6</v>
      </c>
      <c r="EL41" s="166">
        <f>RANK(EV41,$EV$39:$EV$41)</f>
        <v>3</v>
      </c>
      <c r="EM41" s="166">
        <f>HLOOKUP($A$3,Tb_Moyenneintermediaire,7,FALSE)</f>
        <v>6</v>
      </c>
      <c r="EN41" s="166" t="str">
        <f t="shared" si="74"/>
        <v>GERONIMI THIERRY</v>
      </c>
      <c r="EO41" s="132">
        <f t="shared" si="74"/>
        <v>91</v>
      </c>
      <c r="EP41" s="132">
        <f t="shared" si="74"/>
        <v>74</v>
      </c>
      <c r="EQ41" s="135">
        <f t="shared" si="74"/>
        <v>0</v>
      </c>
      <c r="ER41" s="135">
        <f t="shared" si="74"/>
        <v>9</v>
      </c>
      <c r="ES41" s="191">
        <f t="shared" si="74"/>
        <v>0</v>
      </c>
      <c r="ET41" s="191"/>
      <c r="EU41" s="191"/>
      <c r="EV41" s="192">
        <f t="shared" si="75"/>
        <v>1.2298197297297298E-3</v>
      </c>
      <c r="FB41" s="166" t="str">
        <f t="shared" si="76"/>
        <v>GERONIMI THIERRY</v>
      </c>
      <c r="FC41" s="166">
        <f t="shared" si="77"/>
        <v>91</v>
      </c>
      <c r="FD41" s="166">
        <f t="shared" si="78"/>
        <v>74</v>
      </c>
      <c r="FE41" s="166">
        <f t="shared" si="79"/>
        <v>0</v>
      </c>
      <c r="FF41" s="166">
        <f t="shared" si="83"/>
        <v>9</v>
      </c>
      <c r="FG41" s="166">
        <f t="shared" si="80"/>
        <v>0</v>
      </c>
      <c r="FH41" s="166">
        <f t="shared" si="81"/>
        <v>1.2298197297297298E-3</v>
      </c>
      <c r="FI41" s="166">
        <f t="shared" si="82"/>
        <v>1.2297297297297298</v>
      </c>
      <c r="FN41" s="166"/>
      <c r="FO41" s="166"/>
      <c r="FP41" s="166"/>
      <c r="FQ41" s="166"/>
      <c r="FR41" s="166"/>
      <c r="FS41" s="166"/>
      <c r="FT41" s="166"/>
      <c r="FU41" s="166"/>
    </row>
    <row r="42" spans="1:177" ht="21" customHeight="1" x14ac:dyDescent="0.25">
      <c r="X42" s="93" t="s">
        <v>149</v>
      </c>
      <c r="Y42" s="100" t="e">
        <f>VLOOKUP(Z$2,poule4,5,FALSE)</f>
        <v>#N/A</v>
      </c>
      <c r="Z42" s="101"/>
      <c r="AA42" s="101">
        <f t="shared" si="84"/>
        <v>0</v>
      </c>
      <c r="AB42" s="102"/>
      <c r="AC42" s="100" t="e">
        <f>VLOOKUP(AD$2,poule4,5,FALSE)</f>
        <v>#N/A</v>
      </c>
      <c r="AD42" s="101"/>
      <c r="AE42" s="101">
        <f t="shared" si="85"/>
        <v>0</v>
      </c>
      <c r="AF42" s="102"/>
      <c r="AG42" s="100" t="e">
        <f>VLOOKUP(AH$2,poule4,5,FALSE)</f>
        <v>#N/A</v>
      </c>
      <c r="AH42" s="101"/>
      <c r="AI42" s="101">
        <f t="shared" si="86"/>
        <v>0</v>
      </c>
      <c r="AJ42" s="102"/>
      <c r="AK42" s="100" t="e">
        <f>VLOOKUP(AL$2,poule4,5,FALSE)</f>
        <v>#N/A</v>
      </c>
      <c r="AL42" s="101"/>
      <c r="AM42" s="101">
        <f t="shared" si="87"/>
        <v>0</v>
      </c>
      <c r="AN42" s="102"/>
      <c r="AO42" s="100" t="e">
        <f>VLOOKUP(AP$2,poule4,5,FALSE)</f>
        <v>#N/A</v>
      </c>
      <c r="AP42" s="101"/>
      <c r="AQ42" s="101">
        <f t="shared" si="88"/>
        <v>0</v>
      </c>
      <c r="AR42" s="102"/>
      <c r="AS42" s="100" t="e">
        <f>VLOOKUP(AT$2,poule4,5,FALSE)</f>
        <v>#N/A</v>
      </c>
      <c r="AT42" s="101"/>
      <c r="AU42" s="101">
        <f t="shared" si="89"/>
        <v>0</v>
      </c>
      <c r="AV42" s="102"/>
      <c r="AW42" s="100" t="e">
        <f>VLOOKUP(AX$2,poule4,5,FALSE)</f>
        <v>#N/A</v>
      </c>
      <c r="AX42" s="101"/>
      <c r="AY42" s="101">
        <f t="shared" si="90"/>
        <v>0</v>
      </c>
      <c r="AZ42" s="102"/>
      <c r="BA42" s="100" t="e">
        <f>VLOOKUP(BB$2,poule4,5,FALSE)</f>
        <v>#N/A</v>
      </c>
      <c r="BB42" s="101"/>
      <c r="BC42" s="101">
        <f t="shared" si="91"/>
        <v>0</v>
      </c>
      <c r="BD42" s="102"/>
      <c r="BE42" s="100" t="e">
        <f>VLOOKUP(BF$2,poule4,5,FALSE)</f>
        <v>#N/A</v>
      </c>
      <c r="BF42" s="101"/>
      <c r="BG42" s="101">
        <f t="shared" si="92"/>
        <v>0</v>
      </c>
      <c r="BH42" s="102"/>
      <c r="BI42" s="100" t="e">
        <f>VLOOKUP(BJ$2,poule4,5,FALSE)</f>
        <v>#N/A</v>
      </c>
      <c r="BJ42" s="101"/>
      <c r="BK42" s="101">
        <f t="shared" si="93"/>
        <v>0</v>
      </c>
      <c r="BL42" s="102"/>
      <c r="BM42" s="100" t="e">
        <f>VLOOKUP(BN$2,poule4,5,FALSE)</f>
        <v>#N/A</v>
      </c>
      <c r="BN42" s="101"/>
      <c r="BO42" s="101">
        <f t="shared" si="94"/>
        <v>0</v>
      </c>
      <c r="BP42" s="102"/>
      <c r="BQ42" s="100" t="e">
        <f>VLOOKUP(BR$2,poule4,5,FALSE)</f>
        <v>#N/A</v>
      </c>
      <c r="BR42" s="101"/>
      <c r="BS42" s="101">
        <f t="shared" si="95"/>
        <v>0</v>
      </c>
      <c r="BT42" s="102"/>
      <c r="BU42" s="100" t="e">
        <f>VLOOKUP(BV$2,poule4,5,FALSE)</f>
        <v>#N/A</v>
      </c>
      <c r="BV42" s="101"/>
      <c r="BW42" s="101">
        <f t="shared" si="96"/>
        <v>0</v>
      </c>
      <c r="BX42" s="102"/>
      <c r="BY42" s="100" t="e">
        <f>VLOOKUP(BZ$2,poule4,5,FALSE)</f>
        <v>#N/A</v>
      </c>
      <c r="BZ42" s="101"/>
      <c r="CA42" s="101">
        <f t="shared" si="97"/>
        <v>0</v>
      </c>
      <c r="CB42" s="102"/>
      <c r="CC42" s="100" t="e">
        <f>VLOOKUP(CD$2,poule4,5,FALSE)</f>
        <v>#N/A</v>
      </c>
      <c r="CD42" s="101"/>
      <c r="CE42" s="101">
        <f t="shared" si="98"/>
        <v>0</v>
      </c>
      <c r="CF42" s="102"/>
      <c r="CG42" s="100" t="e">
        <f>VLOOKUP(CH$2,poule4,5,FALSE)</f>
        <v>#N/A</v>
      </c>
      <c r="CH42" s="101"/>
      <c r="CI42" s="101">
        <f t="shared" si="99"/>
        <v>0</v>
      </c>
      <c r="CJ42" s="102"/>
      <c r="CK42" s="92"/>
      <c r="CL42" s="93"/>
      <c r="CM42" s="93"/>
      <c r="CN42" s="91"/>
      <c r="EJ42" s="93">
        <v>40</v>
      </c>
      <c r="EQ42" s="135"/>
      <c r="ER42" s="135"/>
      <c r="ES42" s="191"/>
      <c r="ET42" s="191"/>
      <c r="EU42" s="191"/>
      <c r="FB42" s="166" t="e">
        <f t="shared" si="76"/>
        <v>#N/A</v>
      </c>
      <c r="FC42" s="166" t="e">
        <f t="shared" si="77"/>
        <v>#N/A</v>
      </c>
      <c r="FD42" s="166" t="e">
        <f t="shared" si="78"/>
        <v>#N/A</v>
      </c>
      <c r="FE42" s="166" t="e">
        <f t="shared" si="79"/>
        <v>#N/A</v>
      </c>
      <c r="FF42" s="166" t="e">
        <f t="shared" si="83"/>
        <v>#N/A</v>
      </c>
      <c r="FG42" s="166" t="e">
        <f t="shared" si="80"/>
        <v>#N/A</v>
      </c>
      <c r="FH42" s="166" t="e">
        <f t="shared" si="81"/>
        <v>#N/A</v>
      </c>
      <c r="FI42" s="166" t="e">
        <f t="shared" si="82"/>
        <v>#N/A</v>
      </c>
      <c r="FN42" s="166"/>
      <c r="FO42" s="166"/>
      <c r="FP42" s="166"/>
      <c r="FQ42" s="166"/>
      <c r="FR42" s="93"/>
      <c r="FS42" s="93"/>
      <c r="FT42" s="93"/>
      <c r="FU42" s="93"/>
    </row>
    <row r="43" spans="1:177" ht="23.25" customHeight="1" x14ac:dyDescent="0.25">
      <c r="X43" s="93" t="s">
        <v>150</v>
      </c>
      <c r="Y43" s="100" t="e">
        <f>VLOOKUP(Z$2,poule5,5,FALSE)</f>
        <v>#N/A</v>
      </c>
      <c r="Z43" s="101"/>
      <c r="AA43" s="101">
        <f t="shared" si="84"/>
        <v>0</v>
      </c>
      <c r="AB43" s="102"/>
      <c r="AC43" s="100" t="e">
        <f>VLOOKUP(AD$2,poule5,5,FALSE)</f>
        <v>#N/A</v>
      </c>
      <c r="AD43" s="101"/>
      <c r="AE43" s="101">
        <f t="shared" si="85"/>
        <v>0</v>
      </c>
      <c r="AF43" s="102"/>
      <c r="AG43" s="100" t="e">
        <f>VLOOKUP(AH$2,poule5,5,FALSE)</f>
        <v>#N/A</v>
      </c>
      <c r="AH43" s="101"/>
      <c r="AI43" s="101">
        <f t="shared" si="86"/>
        <v>0</v>
      </c>
      <c r="AJ43" s="102"/>
      <c r="AK43" s="100" t="e">
        <f>VLOOKUP(AL$2,poule5,5,FALSE)</f>
        <v>#N/A</v>
      </c>
      <c r="AL43" s="101"/>
      <c r="AM43" s="101">
        <f t="shared" si="87"/>
        <v>0</v>
      </c>
      <c r="AN43" s="102"/>
      <c r="AO43" s="100" t="e">
        <f>VLOOKUP(AP$2,poule5,5,FALSE)</f>
        <v>#N/A</v>
      </c>
      <c r="AP43" s="101"/>
      <c r="AQ43" s="101">
        <f t="shared" si="88"/>
        <v>0</v>
      </c>
      <c r="AR43" s="102"/>
      <c r="AS43" s="100" t="e">
        <f>VLOOKUP(AT$2,poule5,5,FALSE)</f>
        <v>#N/A</v>
      </c>
      <c r="AT43" s="101"/>
      <c r="AU43" s="101">
        <f t="shared" si="89"/>
        <v>0</v>
      </c>
      <c r="AV43" s="102"/>
      <c r="AW43" s="100" t="e">
        <f>VLOOKUP(AX$2,poule5,5,FALSE)</f>
        <v>#N/A</v>
      </c>
      <c r="AX43" s="101"/>
      <c r="AY43" s="101">
        <f t="shared" si="90"/>
        <v>0</v>
      </c>
      <c r="AZ43" s="102"/>
      <c r="BA43" s="100" t="e">
        <f>VLOOKUP(BB$2,poule5,5,FALSE)</f>
        <v>#N/A</v>
      </c>
      <c r="BB43" s="101"/>
      <c r="BC43" s="101">
        <f t="shared" si="91"/>
        <v>0</v>
      </c>
      <c r="BD43" s="102"/>
      <c r="BE43" s="100" t="e">
        <f>VLOOKUP(BF$2,poule5,5,FALSE)</f>
        <v>#N/A</v>
      </c>
      <c r="BF43" s="101"/>
      <c r="BG43" s="101">
        <f t="shared" si="92"/>
        <v>0</v>
      </c>
      <c r="BH43" s="102"/>
      <c r="BI43" s="100" t="e">
        <f>VLOOKUP(BJ$2,poule5,5,FALSE)</f>
        <v>#N/A</v>
      </c>
      <c r="BJ43" s="101"/>
      <c r="BK43" s="101">
        <f t="shared" si="93"/>
        <v>0</v>
      </c>
      <c r="BL43" s="102"/>
      <c r="BM43" s="100" t="e">
        <f>VLOOKUP(BN$2,poule5,5,FALSE)</f>
        <v>#N/A</v>
      </c>
      <c r="BN43" s="101"/>
      <c r="BO43" s="101">
        <f t="shared" si="94"/>
        <v>0</v>
      </c>
      <c r="BP43" s="102"/>
      <c r="BQ43" s="100" t="e">
        <f>VLOOKUP(BR$2,poule5,5,FALSE)</f>
        <v>#N/A</v>
      </c>
      <c r="BR43" s="101"/>
      <c r="BS43" s="101">
        <f t="shared" si="95"/>
        <v>0</v>
      </c>
      <c r="BT43" s="102"/>
      <c r="BU43" s="100" t="e">
        <f>VLOOKUP(BV$2,poule5,5,FALSE)</f>
        <v>#N/A</v>
      </c>
      <c r="BV43" s="101"/>
      <c r="BW43" s="101">
        <f t="shared" si="96"/>
        <v>0</v>
      </c>
      <c r="BX43" s="102"/>
      <c r="BY43" s="100" t="e">
        <f>VLOOKUP(BZ$2,poule5,5,FALSE)</f>
        <v>#N/A</v>
      </c>
      <c r="BZ43" s="101"/>
      <c r="CA43" s="101">
        <f t="shared" si="97"/>
        <v>0</v>
      </c>
      <c r="CB43" s="102"/>
      <c r="CC43" s="100" t="e">
        <f>VLOOKUP(CD$2,poule5,5,FALSE)</f>
        <v>#N/A</v>
      </c>
      <c r="CD43" s="101"/>
      <c r="CE43" s="101">
        <f t="shared" si="98"/>
        <v>0</v>
      </c>
      <c r="CF43" s="102"/>
      <c r="CG43" s="100" t="e">
        <f>VLOOKUP(CH$2,poule5,5,FALSE)</f>
        <v>#N/A</v>
      </c>
      <c r="CH43" s="101"/>
      <c r="CI43" s="101">
        <f t="shared" si="99"/>
        <v>0</v>
      </c>
      <c r="CJ43" s="102"/>
      <c r="CK43" s="137"/>
      <c r="CL43" s="138"/>
      <c r="CM43" s="138"/>
      <c r="CN43" s="139"/>
      <c r="EJ43" s="93">
        <v>41</v>
      </c>
      <c r="EQ43" s="135"/>
      <c r="ER43" s="135"/>
      <c r="ES43" s="191"/>
      <c r="ET43" s="191"/>
      <c r="EU43" s="191"/>
      <c r="FB43" s="166" t="e">
        <f t="shared" si="76"/>
        <v>#N/A</v>
      </c>
      <c r="FC43" s="166" t="e">
        <f t="shared" si="77"/>
        <v>#N/A</v>
      </c>
      <c r="FD43" s="166" t="e">
        <f t="shared" si="78"/>
        <v>#N/A</v>
      </c>
      <c r="FE43" s="166" t="e">
        <f t="shared" si="79"/>
        <v>#N/A</v>
      </c>
      <c r="FF43" s="166" t="e">
        <f t="shared" si="83"/>
        <v>#N/A</v>
      </c>
      <c r="FG43" s="166" t="e">
        <f t="shared" si="80"/>
        <v>#N/A</v>
      </c>
      <c r="FH43" s="166" t="e">
        <f t="shared" si="81"/>
        <v>#N/A</v>
      </c>
      <c r="FI43" s="166" t="e">
        <f t="shared" si="82"/>
        <v>#N/A</v>
      </c>
      <c r="FN43" s="166"/>
      <c r="FO43" s="166"/>
      <c r="FP43" s="166"/>
      <c r="FQ43" s="166"/>
      <c r="FR43" s="166"/>
      <c r="FS43" s="166"/>
      <c r="FT43" s="166"/>
      <c r="FU43" s="166"/>
    </row>
    <row r="44" spans="1:177" ht="21" customHeight="1" x14ac:dyDescent="0.25">
      <c r="X44" s="93" t="s">
        <v>151</v>
      </c>
      <c r="Y44" s="100" t="e">
        <f>VLOOKUP(Z$2,Poule6,5,FALSE)</f>
        <v>#N/A</v>
      </c>
      <c r="Z44" s="101"/>
      <c r="AA44" s="101">
        <f t="shared" si="84"/>
        <v>0</v>
      </c>
      <c r="AB44" s="102"/>
      <c r="AC44" s="100" t="e">
        <f>VLOOKUP(AD$2,Poule6,5,FALSE)</f>
        <v>#N/A</v>
      </c>
      <c r="AD44" s="101"/>
      <c r="AE44" s="101">
        <f t="shared" si="85"/>
        <v>0</v>
      </c>
      <c r="AF44" s="102"/>
      <c r="AG44" s="100" t="e">
        <f>VLOOKUP(AH$2,Poule6,5,FALSE)</f>
        <v>#N/A</v>
      </c>
      <c r="AH44" s="101"/>
      <c r="AI44" s="101">
        <f t="shared" si="86"/>
        <v>0</v>
      </c>
      <c r="AJ44" s="102"/>
      <c r="AK44" s="100" t="e">
        <f>VLOOKUP(AL$2,Poule6,5,FALSE)</f>
        <v>#N/A</v>
      </c>
      <c r="AL44" s="101"/>
      <c r="AM44" s="101">
        <f t="shared" si="87"/>
        <v>0</v>
      </c>
      <c r="AN44" s="102"/>
      <c r="AO44" s="100" t="e">
        <f>VLOOKUP(AP$2,Poule6,5,FALSE)</f>
        <v>#N/A</v>
      </c>
      <c r="AP44" s="101"/>
      <c r="AQ44" s="101">
        <f t="shared" si="88"/>
        <v>0</v>
      </c>
      <c r="AR44" s="102"/>
      <c r="AS44" s="100" t="e">
        <f>VLOOKUP(AT$2,Poule6,5,FALSE)</f>
        <v>#N/A</v>
      </c>
      <c r="AT44" s="101"/>
      <c r="AU44" s="101">
        <f t="shared" si="89"/>
        <v>0</v>
      </c>
      <c r="AV44" s="102"/>
      <c r="AW44" s="100" t="e">
        <f>VLOOKUP(AX$2,Poule6,5,FALSE)</f>
        <v>#N/A</v>
      </c>
      <c r="AX44" s="101"/>
      <c r="AY44" s="101">
        <f t="shared" si="90"/>
        <v>0</v>
      </c>
      <c r="AZ44" s="102"/>
      <c r="BA44" s="100" t="e">
        <f>VLOOKUP(BB$2,Poule6,5,FALSE)</f>
        <v>#N/A</v>
      </c>
      <c r="BB44" s="101"/>
      <c r="BC44" s="101">
        <f t="shared" si="91"/>
        <v>0</v>
      </c>
      <c r="BD44" s="102"/>
      <c r="BE44" s="100" t="e">
        <f>VLOOKUP(BF$2,Poule6,5,FALSE)</f>
        <v>#N/A</v>
      </c>
      <c r="BF44" s="101"/>
      <c r="BG44" s="101">
        <f t="shared" si="92"/>
        <v>0</v>
      </c>
      <c r="BH44" s="102"/>
      <c r="BI44" s="100" t="e">
        <f>VLOOKUP(BJ$2,Poule6,5,FALSE)</f>
        <v>#N/A</v>
      </c>
      <c r="BJ44" s="101"/>
      <c r="BK44" s="101">
        <f t="shared" si="93"/>
        <v>0</v>
      </c>
      <c r="BL44" s="102"/>
      <c r="BM44" s="100" t="e">
        <f>VLOOKUP(BN$2,Poule6,5,FALSE)</f>
        <v>#N/A</v>
      </c>
      <c r="BN44" s="101"/>
      <c r="BO44" s="101">
        <f t="shared" si="94"/>
        <v>0</v>
      </c>
      <c r="BP44" s="102"/>
      <c r="BQ44" s="100" t="e">
        <f>VLOOKUP(BR$2,Poule6,5,FALSE)</f>
        <v>#N/A</v>
      </c>
      <c r="BR44" s="101"/>
      <c r="BS44" s="101">
        <f t="shared" si="95"/>
        <v>0</v>
      </c>
      <c r="BT44" s="102"/>
      <c r="BU44" s="100" t="e">
        <f>VLOOKUP(BV$2,Poule6,5,FALSE)</f>
        <v>#N/A</v>
      </c>
      <c r="BV44" s="101"/>
      <c r="BW44" s="101">
        <f t="shared" si="96"/>
        <v>0</v>
      </c>
      <c r="BX44" s="102"/>
      <c r="BY44" s="100" t="e">
        <f>VLOOKUP(BZ$2,Poule6,5,FALSE)</f>
        <v>#N/A</v>
      </c>
      <c r="BZ44" s="101"/>
      <c r="CA44" s="101">
        <f t="shared" si="97"/>
        <v>0</v>
      </c>
      <c r="CB44" s="102"/>
      <c r="CC44" s="100" t="e">
        <f>VLOOKUP(CD$2,Poule6,5,FALSE)</f>
        <v>#N/A</v>
      </c>
      <c r="CD44" s="101"/>
      <c r="CE44" s="101">
        <f t="shared" si="98"/>
        <v>0</v>
      </c>
      <c r="CF44" s="102"/>
      <c r="CG44" s="100" t="e">
        <f>VLOOKUP(CH$2,Poule6,5,FALSE)</f>
        <v>#N/A</v>
      </c>
      <c r="CH44" s="101"/>
      <c r="CI44" s="101">
        <f t="shared" si="99"/>
        <v>0</v>
      </c>
      <c r="CJ44" s="102"/>
      <c r="CK44" s="137"/>
      <c r="CL44" s="138"/>
      <c r="CM44" s="138"/>
      <c r="CN44" s="139"/>
      <c r="EJ44" s="93">
        <v>42</v>
      </c>
      <c r="EM44" s="166">
        <v>1</v>
      </c>
      <c r="EN44" s="166" t="str">
        <f>Z2</f>
        <v>DAVID MICHEL</v>
      </c>
      <c r="EO44" s="93">
        <f>AA9</f>
        <v>120</v>
      </c>
      <c r="EP44" s="93">
        <f>AA21</f>
        <v>74</v>
      </c>
      <c r="EQ44" s="104">
        <f>Y47</f>
        <v>4</v>
      </c>
      <c r="ER44" s="140">
        <f>Y50</f>
        <v>6</v>
      </c>
      <c r="ES44" s="135">
        <f>Y49</f>
        <v>1.6666666666666667</v>
      </c>
      <c r="ET44" s="135"/>
      <c r="EU44" s="135"/>
      <c r="EV44" s="193">
        <f>Y48</f>
        <v>1.6216216216216217</v>
      </c>
      <c r="EW44" s="166">
        <f>Y51</f>
        <v>0</v>
      </c>
      <c r="EY44" s="194">
        <f>Z47</f>
        <v>4.0222162162162167</v>
      </c>
      <c r="FI44" s="93"/>
      <c r="FN44" s="166"/>
      <c r="FO44" s="166"/>
      <c r="FP44" s="166"/>
      <c r="FQ44" s="166"/>
      <c r="FR44" s="166"/>
      <c r="FS44" s="166"/>
      <c r="FT44" s="166"/>
      <c r="FU44" s="166"/>
    </row>
    <row r="45" spans="1:177" ht="21.75" customHeight="1" x14ac:dyDescent="0.25">
      <c r="X45" s="93"/>
      <c r="Y45" s="105"/>
      <c r="Z45" s="127" t="s">
        <v>152</v>
      </c>
      <c r="AA45" s="116">
        <f>MAX(AA39:AA44)</f>
        <v>6</v>
      </c>
      <c r="AB45" s="102"/>
      <c r="AC45" s="105"/>
      <c r="AD45" s="127" t="s">
        <v>152</v>
      </c>
      <c r="AE45" s="116">
        <f>MAX(AE39:AE44)</f>
        <v>7</v>
      </c>
      <c r="AF45" s="102"/>
      <c r="AG45" s="105"/>
      <c r="AH45" s="127" t="s">
        <v>152</v>
      </c>
      <c r="AI45" s="116">
        <f>MAX(AI39:AI44)</f>
        <v>8</v>
      </c>
      <c r="AJ45" s="102"/>
      <c r="AK45" s="105"/>
      <c r="AL45" s="127" t="s">
        <v>152</v>
      </c>
      <c r="AM45" s="116">
        <f>MAX(AM39:AM44)</f>
        <v>14</v>
      </c>
      <c r="AN45" s="102"/>
      <c r="AO45" s="105"/>
      <c r="AP45" s="127" t="s">
        <v>152</v>
      </c>
      <c r="AQ45" s="116">
        <f>MAX(AQ39:AQ44)</f>
        <v>8</v>
      </c>
      <c r="AR45" s="102"/>
      <c r="AS45" s="105"/>
      <c r="AT45" s="127" t="s">
        <v>152</v>
      </c>
      <c r="AU45" s="116">
        <f>MAX(AU39:AU44)</f>
        <v>9</v>
      </c>
      <c r="AV45" s="102"/>
      <c r="AW45" s="105"/>
      <c r="AX45" s="127" t="s">
        <v>152</v>
      </c>
      <c r="AY45" s="116">
        <f>MAX(AY39:AY44)</f>
        <v>0</v>
      </c>
      <c r="AZ45" s="102"/>
      <c r="BA45" s="105"/>
      <c r="BB45" s="127" t="s">
        <v>152</v>
      </c>
      <c r="BC45" s="116">
        <f>MAX(BC39:BC44)</f>
        <v>0</v>
      </c>
      <c r="BD45" s="102"/>
      <c r="BE45" s="105"/>
      <c r="BF45" s="127" t="s">
        <v>152</v>
      </c>
      <c r="BG45" s="116">
        <f>MAX(BG39:BG44)</f>
        <v>0</v>
      </c>
      <c r="BH45" s="102"/>
      <c r="BI45" s="105"/>
      <c r="BJ45" s="127" t="s">
        <v>152</v>
      </c>
      <c r="BK45" s="116">
        <f>MAX(BK39:BK44)</f>
        <v>0</v>
      </c>
      <c r="BL45" s="102"/>
      <c r="BM45" s="105"/>
      <c r="BN45" s="127" t="s">
        <v>152</v>
      </c>
      <c r="BO45" s="116">
        <f>MAX(BO39:BO44)</f>
        <v>0</v>
      </c>
      <c r="BP45" s="102"/>
      <c r="BQ45" s="105"/>
      <c r="BR45" s="127" t="s">
        <v>152</v>
      </c>
      <c r="BS45" s="116">
        <f>MAX(BS39:BS44)</f>
        <v>0</v>
      </c>
      <c r="BT45" s="102"/>
      <c r="BU45" s="105"/>
      <c r="BV45" s="127" t="s">
        <v>152</v>
      </c>
      <c r="BW45" s="116">
        <f>MAX(BW39:BW44)</f>
        <v>0</v>
      </c>
      <c r="BX45" s="102"/>
      <c r="BY45" s="105"/>
      <c r="BZ45" s="127" t="s">
        <v>152</v>
      </c>
      <c r="CA45" s="116">
        <f>MAX(CA39:CA44)</f>
        <v>0</v>
      </c>
      <c r="CB45" s="102"/>
      <c r="CC45" s="105"/>
      <c r="CD45" s="127" t="s">
        <v>152</v>
      </c>
      <c r="CE45" s="116">
        <f>MAX(CE39:CE44)</f>
        <v>0</v>
      </c>
      <c r="CF45" s="102"/>
      <c r="CG45" s="105"/>
      <c r="CH45" s="127" t="s">
        <v>152</v>
      </c>
      <c r="CI45" s="116">
        <f>MAX(CI39:CI44)</f>
        <v>0</v>
      </c>
      <c r="CJ45" s="102"/>
      <c r="CK45" s="137"/>
      <c r="CL45" s="138"/>
      <c r="CM45" s="138"/>
      <c r="CN45" s="139"/>
      <c r="EJ45" s="93">
        <v>43</v>
      </c>
      <c r="EM45" s="166">
        <v>2</v>
      </c>
      <c r="EN45" s="166" t="str">
        <f>AD2</f>
        <v>FAREZ MICHEL</v>
      </c>
      <c r="EO45" s="93">
        <f>AE9</f>
        <v>100</v>
      </c>
      <c r="EP45" s="93">
        <f>AE21</f>
        <v>76</v>
      </c>
      <c r="EQ45" s="140">
        <f>AC47</f>
        <v>2</v>
      </c>
      <c r="ER45" s="140">
        <f>AC50</f>
        <v>7</v>
      </c>
      <c r="ES45" s="135">
        <f>AC49</f>
        <v>1.2749999999999999</v>
      </c>
      <c r="ET45" s="135"/>
      <c r="EU45" s="135"/>
      <c r="EV45" s="193">
        <f>AC48</f>
        <v>1.3157894736842106</v>
      </c>
      <c r="EW45" s="193">
        <f>AC51</f>
        <v>0</v>
      </c>
      <c r="EY45" s="194">
        <f>AD47</f>
        <v>2.0201578947368422</v>
      </c>
      <c r="FI45" s="93"/>
    </row>
    <row r="46" spans="1:177" ht="21" customHeight="1" x14ac:dyDescent="0.25">
      <c r="X46" s="93"/>
      <c r="Y46" s="92"/>
      <c r="Z46" s="93"/>
      <c r="AA46" s="93"/>
      <c r="AB46" s="93"/>
      <c r="AC46" s="92"/>
      <c r="AD46" s="93"/>
      <c r="AE46" s="93"/>
      <c r="AF46" s="93"/>
      <c r="AG46" s="92"/>
      <c r="AH46" s="93"/>
      <c r="AI46" s="93"/>
      <c r="AJ46" s="93"/>
      <c r="AK46" s="92"/>
      <c r="AL46" s="93"/>
      <c r="AM46" s="93"/>
      <c r="AN46" s="93"/>
      <c r="AO46" s="92"/>
      <c r="AP46" s="93"/>
      <c r="AQ46" s="93"/>
      <c r="AR46" s="93"/>
      <c r="AS46" s="92"/>
      <c r="AT46" s="93"/>
      <c r="AU46" s="93"/>
      <c r="AV46" s="93"/>
      <c r="AW46" s="92"/>
      <c r="AX46" s="93"/>
      <c r="AY46" s="93"/>
      <c r="AZ46" s="93"/>
      <c r="BA46" s="92"/>
      <c r="BB46" s="93"/>
      <c r="BC46" s="93"/>
      <c r="BD46" s="93"/>
      <c r="BE46" s="92"/>
      <c r="BF46" s="93"/>
      <c r="BG46" s="93"/>
      <c r="BH46" s="93"/>
      <c r="BI46" s="92"/>
      <c r="BJ46" s="93"/>
      <c r="BK46" s="93"/>
      <c r="BL46" s="91"/>
      <c r="BM46" s="92"/>
      <c r="BN46" s="93"/>
      <c r="BO46" s="93"/>
      <c r="BP46" s="91"/>
      <c r="BQ46" s="92"/>
      <c r="BR46" s="93"/>
      <c r="BS46" s="93"/>
      <c r="BT46" s="93"/>
      <c r="BU46" s="92"/>
      <c r="BV46" s="93"/>
      <c r="BW46" s="93"/>
      <c r="BX46" s="91"/>
      <c r="BY46" s="92"/>
      <c r="BZ46" s="93"/>
      <c r="CA46" s="93"/>
      <c r="CB46" s="91"/>
      <c r="CC46" s="92"/>
      <c r="CD46" s="93"/>
      <c r="CE46" s="93"/>
      <c r="CF46" s="91"/>
      <c r="CG46" s="92"/>
      <c r="CH46" s="93"/>
      <c r="CI46" s="93"/>
      <c r="CJ46" s="91"/>
      <c r="CK46" s="137"/>
      <c r="CL46" s="138"/>
      <c r="CM46" s="138"/>
      <c r="CN46" s="139"/>
      <c r="EJ46" s="93">
        <v>44</v>
      </c>
      <c r="EM46" s="166">
        <v>3</v>
      </c>
      <c r="EN46" s="166" t="str">
        <f>AH2</f>
        <v>LENGAIGNE DANIEL</v>
      </c>
      <c r="EO46" s="93">
        <f>AI9</f>
        <v>81</v>
      </c>
      <c r="EP46" s="93">
        <f>AI21</f>
        <v>78</v>
      </c>
      <c r="EQ46" s="104">
        <f>AG47</f>
        <v>0</v>
      </c>
      <c r="ER46" s="140">
        <f>AG50</f>
        <v>8</v>
      </c>
      <c r="ES46" s="135">
        <f>AG49</f>
        <v>0</v>
      </c>
      <c r="ET46" s="135"/>
      <c r="EU46" s="135"/>
      <c r="EV46" s="193">
        <f>AG48</f>
        <v>1.0384615384615385</v>
      </c>
      <c r="EW46" s="166">
        <f>AG51</f>
        <v>0</v>
      </c>
      <c r="EY46" s="194">
        <f>AH47</f>
        <v>1.8384615384615388E-2</v>
      </c>
      <c r="FI46" s="93"/>
    </row>
    <row r="47" spans="1:177" ht="18.75" customHeight="1" x14ac:dyDescent="0.25">
      <c r="M47" s="195"/>
      <c r="X47" s="93" t="s">
        <v>153</v>
      </c>
      <c r="Y47" s="92">
        <f>AA29</f>
        <v>4</v>
      </c>
      <c r="Z47" s="141">
        <f>Y47+(Y48/100)+(Y50/1000)</f>
        <v>4.0222162162162167</v>
      </c>
      <c r="AA47" s="93"/>
      <c r="AB47" s="93"/>
      <c r="AC47" s="92">
        <f>AE29</f>
        <v>2</v>
      </c>
      <c r="AD47" s="141">
        <f>AC47+(AC48/100)+(AC50/1000)</f>
        <v>2.0201578947368422</v>
      </c>
      <c r="AE47" s="93"/>
      <c r="AF47" s="93"/>
      <c r="AG47" s="92">
        <f>AI29</f>
        <v>0</v>
      </c>
      <c r="AH47" s="141">
        <f>AG47+(AG48/100)+(AG50/1000)</f>
        <v>1.8384615384615388E-2</v>
      </c>
      <c r="AI47" s="93"/>
      <c r="AJ47" s="93"/>
      <c r="AK47" s="92">
        <f>AM29</f>
        <v>4</v>
      </c>
      <c r="AL47" s="141">
        <f>AK47+(AK48/100)+(AK50/1000)</f>
        <v>4.0293246753246752</v>
      </c>
      <c r="AM47" s="93"/>
      <c r="AN47" s="93"/>
      <c r="AO47" s="92">
        <f>AQ29</f>
        <v>2</v>
      </c>
      <c r="AP47" s="141">
        <f>AO47+(AO48/100)+(AO50/1000)</f>
        <v>2.023064935064935</v>
      </c>
      <c r="AQ47" s="93"/>
      <c r="AR47" s="93"/>
      <c r="AS47" s="92">
        <f>AU29</f>
        <v>0</v>
      </c>
      <c r="AT47" s="141">
        <f>AS47+(AS48/100)+(AS50/1000)</f>
        <v>2.1297297297297298E-2</v>
      </c>
      <c r="AU47" s="93"/>
      <c r="AV47" s="93"/>
      <c r="AW47" s="92">
        <f>AY29</f>
        <v>0</v>
      </c>
      <c r="AX47" s="141">
        <f>AW47+(AW48/100)+(AW50/1000)</f>
        <v>0</v>
      </c>
      <c r="AY47" s="93"/>
      <c r="AZ47" s="93"/>
      <c r="BA47" s="92">
        <f>BC29</f>
        <v>0</v>
      </c>
      <c r="BB47" s="141" t="e">
        <f>BA47+(BA48/100)+(BA50/1000)</f>
        <v>#DIV/0!</v>
      </c>
      <c r="BC47" s="93"/>
      <c r="BD47" s="93"/>
      <c r="BE47" s="92">
        <f>BG29</f>
        <v>0</v>
      </c>
      <c r="BF47" s="141" t="e">
        <f>BE47+(BE48/100)+(BE50/1000)</f>
        <v>#DIV/0!</v>
      </c>
      <c r="BG47" s="93"/>
      <c r="BH47" s="93"/>
      <c r="BI47" s="92">
        <f>BK29</f>
        <v>0</v>
      </c>
      <c r="BJ47" s="141" t="e">
        <f>BI47+(BI48/100)+(BI50/1000)</f>
        <v>#DIV/0!</v>
      </c>
      <c r="BK47" s="93"/>
      <c r="BL47" s="91"/>
      <c r="BM47" s="92">
        <f>BO29</f>
        <v>0</v>
      </c>
      <c r="BN47" s="141" t="e">
        <f>BM47+(BM48/100)+(BM50/1000)</f>
        <v>#DIV/0!</v>
      </c>
      <c r="BO47" s="93"/>
      <c r="BP47" s="91"/>
      <c r="BQ47" s="92">
        <f>BS29</f>
        <v>0</v>
      </c>
      <c r="BR47" s="141" t="e">
        <f>BQ47+(BQ48/100)+(BQ50/1000)</f>
        <v>#DIV/0!</v>
      </c>
      <c r="BS47" s="93"/>
      <c r="BT47" s="93"/>
      <c r="BU47" s="92">
        <f>BW29</f>
        <v>0</v>
      </c>
      <c r="BV47" s="141" t="e">
        <f>BU47+(BU48/100)+(BU50/1000)</f>
        <v>#DIV/0!</v>
      </c>
      <c r="BW47" s="93"/>
      <c r="BX47" s="91"/>
      <c r="BY47" s="92">
        <f>CA29</f>
        <v>0</v>
      </c>
      <c r="BZ47" s="141" t="e">
        <f>BY47+(BY48/100)+(BY50/1000)</f>
        <v>#DIV/0!</v>
      </c>
      <c r="CA47" s="93"/>
      <c r="CB47" s="91"/>
      <c r="CC47" s="92">
        <f>CE29</f>
        <v>0</v>
      </c>
      <c r="CD47" s="141" t="e">
        <f>CC47+(CC48/100)+(CC50/1000)</f>
        <v>#DIV/0!</v>
      </c>
      <c r="CE47" s="93"/>
      <c r="CF47" s="91"/>
      <c r="CG47" s="92">
        <f>CI29</f>
        <v>0</v>
      </c>
      <c r="CH47" s="141" t="e">
        <f>CG47+(CG48/100)+(CG50/1000)</f>
        <v>#DIV/0!</v>
      </c>
      <c r="CI47" s="93"/>
      <c r="CJ47" s="91"/>
      <c r="CK47" s="137"/>
      <c r="CL47" s="138"/>
      <c r="CM47" s="138"/>
      <c r="CN47" s="139"/>
      <c r="EJ47" s="93">
        <v>45</v>
      </c>
      <c r="EM47" s="166">
        <v>4</v>
      </c>
      <c r="EN47" s="166" t="str">
        <f>AL2</f>
        <v>BLANCHARD THIERRY</v>
      </c>
      <c r="EO47" s="93">
        <f>AM9</f>
        <v>118</v>
      </c>
      <c r="EP47" s="93">
        <f>AM21</f>
        <v>77</v>
      </c>
      <c r="EQ47" s="104">
        <f>AK47</f>
        <v>4</v>
      </c>
      <c r="ER47" s="140">
        <f>AK50</f>
        <v>14</v>
      </c>
      <c r="ES47" s="135">
        <f>AK49</f>
        <v>1.6216216216216217</v>
      </c>
      <c r="ET47" s="135"/>
      <c r="EU47" s="135"/>
      <c r="EV47" s="193">
        <f>AK48</f>
        <v>1.5324675324675325</v>
      </c>
      <c r="EW47" s="166">
        <f>AK51</f>
        <v>0</v>
      </c>
      <c r="EY47" s="194">
        <f>AL47</f>
        <v>4.0293246753246752</v>
      </c>
      <c r="FI47" s="93"/>
    </row>
    <row r="48" spans="1:177" ht="18.75" customHeight="1" x14ac:dyDescent="0.25">
      <c r="M48" s="195"/>
      <c r="X48" s="93" t="s">
        <v>154</v>
      </c>
      <c r="Y48" s="142">
        <f>AA13</f>
        <v>1.6216216216216217</v>
      </c>
      <c r="Z48" s="93"/>
      <c r="AA48" s="93"/>
      <c r="AB48" s="93"/>
      <c r="AC48" s="142">
        <f>AE13</f>
        <v>1.3157894736842106</v>
      </c>
      <c r="AD48" s="93"/>
      <c r="AE48" s="93"/>
      <c r="AF48" s="93"/>
      <c r="AG48" s="142">
        <f>AI13</f>
        <v>1.0384615384615385</v>
      </c>
      <c r="AH48" s="93"/>
      <c r="AI48" s="93"/>
      <c r="AJ48" s="93"/>
      <c r="AK48" s="142">
        <f>AM13</f>
        <v>1.5324675324675325</v>
      </c>
      <c r="AL48" s="93"/>
      <c r="AM48" s="93"/>
      <c r="AN48" s="93"/>
      <c r="AO48" s="142">
        <f>AQ13</f>
        <v>1.5064935064935066</v>
      </c>
      <c r="AP48" s="93"/>
      <c r="AQ48" s="93"/>
      <c r="AR48" s="93"/>
      <c r="AS48" s="142">
        <f>AU13</f>
        <v>1.2297297297297298</v>
      </c>
      <c r="AT48" s="93"/>
      <c r="AU48" s="93"/>
      <c r="AV48" s="93"/>
      <c r="AW48" s="142">
        <f>AY13</f>
        <v>0</v>
      </c>
      <c r="AX48" s="93"/>
      <c r="AY48" s="93"/>
      <c r="AZ48" s="93"/>
      <c r="BA48" s="142" t="e">
        <f>BC13</f>
        <v>#DIV/0!</v>
      </c>
      <c r="BB48" s="93"/>
      <c r="BC48" s="93"/>
      <c r="BD48" s="93"/>
      <c r="BE48" s="142" t="e">
        <f>BG13</f>
        <v>#DIV/0!</v>
      </c>
      <c r="BF48" s="93"/>
      <c r="BG48" s="93"/>
      <c r="BH48" s="93"/>
      <c r="BI48" s="142" t="e">
        <f>BK13</f>
        <v>#DIV/0!</v>
      </c>
      <c r="BJ48" s="93"/>
      <c r="BK48" s="93"/>
      <c r="BL48" s="91"/>
      <c r="BM48" s="142" t="e">
        <f>BO13</f>
        <v>#DIV/0!</v>
      </c>
      <c r="BN48" s="93"/>
      <c r="BO48" s="93"/>
      <c r="BP48" s="91"/>
      <c r="BQ48" s="142" t="e">
        <f>BS13</f>
        <v>#DIV/0!</v>
      </c>
      <c r="BR48" s="93"/>
      <c r="BS48" s="93"/>
      <c r="BT48" s="93"/>
      <c r="BU48" s="142" t="e">
        <f>BW13</f>
        <v>#DIV/0!</v>
      </c>
      <c r="BV48" s="93"/>
      <c r="BW48" s="93"/>
      <c r="BX48" s="91"/>
      <c r="BY48" s="142" t="e">
        <f>CA13</f>
        <v>#DIV/0!</v>
      </c>
      <c r="BZ48" s="93"/>
      <c r="CA48" s="93"/>
      <c r="CB48" s="91"/>
      <c r="CC48" s="142" t="e">
        <f>CE13</f>
        <v>#DIV/0!</v>
      </c>
      <c r="CD48" s="93"/>
      <c r="CE48" s="93"/>
      <c r="CF48" s="91"/>
      <c r="CG48" s="142" t="e">
        <f>CI13</f>
        <v>#DIV/0!</v>
      </c>
      <c r="CH48" s="93"/>
      <c r="CI48" s="93"/>
      <c r="CJ48" s="91"/>
      <c r="CK48" s="137"/>
      <c r="CL48" s="138"/>
      <c r="CM48" s="138"/>
      <c r="CN48" s="139"/>
      <c r="EJ48" s="93">
        <v>46</v>
      </c>
      <c r="EM48" s="166">
        <v>5</v>
      </c>
      <c r="EN48" s="166" t="str">
        <f>AP2</f>
        <v>CARDON CHRISTIAN</v>
      </c>
      <c r="EO48" s="93">
        <f>AQ9</f>
        <v>116</v>
      </c>
      <c r="EP48" s="93">
        <f>AQ21</f>
        <v>77</v>
      </c>
      <c r="EQ48" s="104">
        <f>AO47</f>
        <v>2</v>
      </c>
      <c r="ER48" s="140">
        <f>AO50</f>
        <v>8</v>
      </c>
      <c r="ES48" s="135">
        <f>AO49</f>
        <v>1.6216216216216217</v>
      </c>
      <c r="ET48" s="135"/>
      <c r="EU48" s="135"/>
      <c r="EV48" s="193">
        <f>AO48</f>
        <v>1.5064935064935066</v>
      </c>
      <c r="EW48" s="194">
        <f>AO51</f>
        <v>0</v>
      </c>
      <c r="EY48" s="194">
        <f>AP47</f>
        <v>2.023064935064935</v>
      </c>
    </row>
    <row r="49" spans="11:155" ht="21" customHeight="1" x14ac:dyDescent="0.25">
      <c r="M49" s="188"/>
      <c r="N49" s="118"/>
      <c r="O49" s="120"/>
      <c r="P49" s="120"/>
      <c r="Q49" s="120"/>
      <c r="R49" s="121"/>
      <c r="S49" s="143"/>
      <c r="T49" s="144"/>
      <c r="U49" s="145"/>
      <c r="V49" s="146"/>
      <c r="X49" s="93" t="s">
        <v>155</v>
      </c>
      <c r="Y49" s="142">
        <f>AA37</f>
        <v>1.6666666666666667</v>
      </c>
      <c r="Z49" s="93"/>
      <c r="AA49" s="93"/>
      <c r="AB49" s="93"/>
      <c r="AC49" s="142">
        <f>AE37</f>
        <v>1.2749999999999999</v>
      </c>
      <c r="AD49" s="93"/>
      <c r="AE49" s="93"/>
      <c r="AF49" s="93"/>
      <c r="AG49" s="142">
        <f>AI37</f>
        <v>0</v>
      </c>
      <c r="AH49" s="93"/>
      <c r="AI49" s="93"/>
      <c r="AJ49" s="93"/>
      <c r="AK49" s="142">
        <f>AM37</f>
        <v>1.6216216216216217</v>
      </c>
      <c r="AL49" s="93"/>
      <c r="AM49" s="93"/>
      <c r="AN49" s="93"/>
      <c r="AO49" s="142">
        <f>AQ37</f>
        <v>1.6216216216216217</v>
      </c>
      <c r="AP49" s="93"/>
      <c r="AQ49" s="93"/>
      <c r="AR49" s="93"/>
      <c r="AS49" s="142">
        <f>AU37</f>
        <v>0</v>
      </c>
      <c r="AT49" s="93"/>
      <c r="AU49" s="93"/>
      <c r="AV49" s="93"/>
      <c r="AW49" s="142">
        <f>AY37</f>
        <v>0</v>
      </c>
      <c r="AX49" s="93"/>
      <c r="AY49" s="93"/>
      <c r="AZ49" s="93"/>
      <c r="BA49" s="142">
        <f>BC37</f>
        <v>0</v>
      </c>
      <c r="BB49" s="93"/>
      <c r="BC49" s="93"/>
      <c r="BD49" s="93"/>
      <c r="BE49" s="142">
        <f>BG37</f>
        <v>0</v>
      </c>
      <c r="BF49" s="93"/>
      <c r="BG49" s="93"/>
      <c r="BH49" s="93"/>
      <c r="BI49" s="142">
        <f>BK37</f>
        <v>0</v>
      </c>
      <c r="BJ49" s="93"/>
      <c r="BK49" s="93"/>
      <c r="BL49" s="91"/>
      <c r="BM49" s="142">
        <f>BO37</f>
        <v>0</v>
      </c>
      <c r="BN49" s="93"/>
      <c r="BO49" s="93"/>
      <c r="BP49" s="91"/>
      <c r="BQ49" s="142">
        <f>BS37</f>
        <v>0</v>
      </c>
      <c r="BR49" s="93"/>
      <c r="BS49" s="93"/>
      <c r="BT49" s="93"/>
      <c r="BU49" s="142">
        <f>BW37</f>
        <v>0</v>
      </c>
      <c r="BV49" s="93"/>
      <c r="BW49" s="93"/>
      <c r="BX49" s="91"/>
      <c r="BY49" s="142">
        <f>CA37</f>
        <v>0</v>
      </c>
      <c r="BZ49" s="93"/>
      <c r="CA49" s="93"/>
      <c r="CB49" s="91"/>
      <c r="CC49" s="142">
        <f>CE37</f>
        <v>0</v>
      </c>
      <c r="CD49" s="93"/>
      <c r="CE49" s="93"/>
      <c r="CF49" s="91"/>
      <c r="CG49" s="142">
        <f>CI37</f>
        <v>0</v>
      </c>
      <c r="CH49" s="93"/>
      <c r="CI49" s="93"/>
      <c r="CJ49" s="91"/>
      <c r="CK49" s="137"/>
      <c r="CL49" s="138"/>
      <c r="CM49" s="138"/>
      <c r="CN49" s="139"/>
      <c r="EJ49" s="93">
        <v>47</v>
      </c>
      <c r="EM49" s="166">
        <v>6</v>
      </c>
      <c r="EN49" s="166" t="str">
        <f>AT2</f>
        <v>GERONIMI THIERRY</v>
      </c>
      <c r="EO49" s="93">
        <f>AU9</f>
        <v>91</v>
      </c>
      <c r="EP49" s="93">
        <f>AU21</f>
        <v>74</v>
      </c>
      <c r="EQ49" s="104">
        <f>AS47</f>
        <v>0</v>
      </c>
      <c r="ER49" s="140">
        <f>AS50</f>
        <v>9</v>
      </c>
      <c r="ES49" s="135">
        <f>AS49</f>
        <v>0</v>
      </c>
      <c r="ET49" s="135"/>
      <c r="EU49" s="135"/>
      <c r="EV49" s="193">
        <f>AS48</f>
        <v>1.2297297297297298</v>
      </c>
      <c r="EW49" s="194">
        <f>AS51</f>
        <v>0</v>
      </c>
      <c r="EY49" s="194">
        <f>AT47</f>
        <v>2.1297297297297298E-2</v>
      </c>
    </row>
    <row r="50" spans="11:155" ht="21.75" customHeight="1" x14ac:dyDescent="0.25">
      <c r="M50" s="188"/>
      <c r="N50" s="118"/>
      <c r="O50" s="120"/>
      <c r="P50" s="118"/>
      <c r="Q50" s="120"/>
      <c r="R50" s="121"/>
      <c r="S50" s="122"/>
      <c r="T50" s="144"/>
      <c r="U50" s="145"/>
      <c r="V50" s="146"/>
      <c r="X50" s="93" t="s">
        <v>152</v>
      </c>
      <c r="Y50" s="142">
        <f>AA45</f>
        <v>6</v>
      </c>
      <c r="Z50" s="93"/>
      <c r="AA50" s="93"/>
      <c r="AB50" s="93"/>
      <c r="AC50" s="142">
        <f>AE45</f>
        <v>7</v>
      </c>
      <c r="AD50" s="93"/>
      <c r="AE50" s="93"/>
      <c r="AF50" s="93"/>
      <c r="AG50" s="142">
        <f>AI45</f>
        <v>8</v>
      </c>
      <c r="AH50" s="93"/>
      <c r="AI50" s="93"/>
      <c r="AJ50" s="93"/>
      <c r="AK50" s="142">
        <f>AM45</f>
        <v>14</v>
      </c>
      <c r="AL50" s="93"/>
      <c r="AM50" s="93"/>
      <c r="AN50" s="93"/>
      <c r="AO50" s="142">
        <f>AQ45</f>
        <v>8</v>
      </c>
      <c r="AP50" s="93"/>
      <c r="AQ50" s="93"/>
      <c r="AR50" s="93"/>
      <c r="AS50" s="142">
        <f>AU45</f>
        <v>9</v>
      </c>
      <c r="AT50" s="93"/>
      <c r="AU50" s="93"/>
      <c r="AV50" s="93"/>
      <c r="AW50" s="142">
        <f>AY45</f>
        <v>0</v>
      </c>
      <c r="AX50" s="93"/>
      <c r="AY50" s="93"/>
      <c r="AZ50" s="93"/>
      <c r="BA50" s="142">
        <f>BC45</f>
        <v>0</v>
      </c>
      <c r="BB50" s="93"/>
      <c r="BC50" s="93"/>
      <c r="BD50" s="93"/>
      <c r="BE50" s="142">
        <f>BG45</f>
        <v>0</v>
      </c>
      <c r="BF50" s="93"/>
      <c r="BG50" s="93"/>
      <c r="BH50" s="93"/>
      <c r="BI50" s="142">
        <f>BK45</f>
        <v>0</v>
      </c>
      <c r="BJ50" s="93"/>
      <c r="BK50" s="93"/>
      <c r="BL50" s="91"/>
      <c r="BM50" s="142">
        <f>BO45</f>
        <v>0</v>
      </c>
      <c r="BN50" s="93"/>
      <c r="BO50" s="93"/>
      <c r="BP50" s="91"/>
      <c r="BQ50" s="142">
        <f>BS45</f>
        <v>0</v>
      </c>
      <c r="BR50" s="93"/>
      <c r="BS50" s="93"/>
      <c r="BT50" s="93"/>
      <c r="BU50" s="142">
        <f>BW45</f>
        <v>0</v>
      </c>
      <c r="BV50" s="93"/>
      <c r="BW50" s="93"/>
      <c r="BX50" s="91"/>
      <c r="BY50" s="142">
        <f>CA45</f>
        <v>0</v>
      </c>
      <c r="BZ50" s="93"/>
      <c r="CA50" s="93"/>
      <c r="CB50" s="91"/>
      <c r="CC50" s="142">
        <f>CE45</f>
        <v>0</v>
      </c>
      <c r="CD50" s="93"/>
      <c r="CE50" s="93"/>
      <c r="CF50" s="91"/>
      <c r="CG50" s="142">
        <f>CI45</f>
        <v>0</v>
      </c>
      <c r="CH50" s="93"/>
      <c r="CI50" s="93"/>
      <c r="CJ50" s="91"/>
      <c r="CK50" s="137"/>
      <c r="CL50" s="138"/>
      <c r="CM50" s="138"/>
      <c r="CN50" s="139"/>
      <c r="EM50" s="166">
        <v>7</v>
      </c>
      <c r="EN50" s="166" t="e">
        <f>AX2</f>
        <v>#N/A</v>
      </c>
      <c r="EO50" s="135">
        <f>AY9</f>
        <v>0</v>
      </c>
      <c r="EP50" s="104">
        <f>AY21</f>
        <v>0</v>
      </c>
      <c r="EQ50" s="93">
        <f>AW47</f>
        <v>0</v>
      </c>
      <c r="ER50" s="104">
        <f>AW50</f>
        <v>0</v>
      </c>
      <c r="ES50" s="135">
        <f>AW49</f>
        <v>0</v>
      </c>
      <c r="ET50" s="135"/>
      <c r="EU50" s="135"/>
      <c r="EV50" s="193">
        <f>AW48</f>
        <v>0</v>
      </c>
      <c r="EW50" s="166">
        <f>AW51</f>
        <v>0</v>
      </c>
      <c r="EY50" s="194">
        <f>AX47</f>
        <v>0</v>
      </c>
    </row>
    <row r="51" spans="11:155" ht="18.75" customHeight="1" x14ac:dyDescent="0.25">
      <c r="M51" s="195"/>
      <c r="X51" s="93"/>
      <c r="Y51" s="92"/>
      <c r="Z51" s="93"/>
      <c r="AA51" s="93"/>
      <c r="AB51" s="93"/>
      <c r="AC51" s="92"/>
      <c r="AD51" s="93"/>
      <c r="AE51" s="93"/>
      <c r="AF51" s="93"/>
      <c r="AG51" s="92"/>
      <c r="AH51" s="93"/>
      <c r="AI51" s="93"/>
      <c r="AJ51" s="93"/>
      <c r="AK51" s="92"/>
      <c r="AL51" s="93"/>
      <c r="AM51" s="93"/>
      <c r="AN51" s="93"/>
      <c r="AO51" s="92"/>
      <c r="AP51" s="93"/>
      <c r="AQ51" s="93"/>
      <c r="AR51" s="93"/>
      <c r="AS51" s="92"/>
      <c r="AT51" s="93"/>
      <c r="AU51" s="93"/>
      <c r="AV51" s="93"/>
      <c r="AW51" s="92"/>
      <c r="AX51" s="93"/>
      <c r="AY51" s="93"/>
      <c r="AZ51" s="93"/>
      <c r="BA51" s="92"/>
      <c r="BB51" s="93"/>
      <c r="BC51" s="93"/>
      <c r="BD51" s="93"/>
      <c r="BE51" s="92"/>
      <c r="BF51" s="93"/>
      <c r="BG51" s="93"/>
      <c r="BH51" s="93"/>
      <c r="BI51" s="92"/>
      <c r="BJ51" s="93"/>
      <c r="BK51" s="93"/>
      <c r="BL51" s="91"/>
      <c r="BM51" s="92"/>
      <c r="BN51" s="93"/>
      <c r="BO51" s="93"/>
      <c r="BP51" s="91"/>
      <c r="BQ51" s="92"/>
      <c r="BR51" s="93"/>
      <c r="BS51" s="93"/>
      <c r="BT51" s="93"/>
      <c r="BU51" s="92"/>
      <c r="BV51" s="93"/>
      <c r="BW51" s="93"/>
      <c r="BX51" s="91"/>
      <c r="BY51" s="92"/>
      <c r="BZ51" s="93"/>
      <c r="CA51" s="93"/>
      <c r="CB51" s="91"/>
      <c r="CC51" s="92"/>
      <c r="CD51" s="93"/>
      <c r="CE51" s="93"/>
      <c r="CF51" s="91"/>
      <c r="CG51" s="92"/>
      <c r="CH51" s="93"/>
      <c r="CI51" s="93"/>
      <c r="CJ51" s="91"/>
      <c r="CK51" s="137"/>
      <c r="CL51" s="138"/>
      <c r="CM51" s="138"/>
      <c r="CN51" s="139"/>
      <c r="EM51" s="166">
        <v>8</v>
      </c>
      <c r="EN51" s="166" t="e">
        <f>BB2</f>
        <v>#N/A</v>
      </c>
      <c r="EO51" s="104">
        <f>BC9</f>
        <v>0</v>
      </c>
      <c r="EP51" s="104">
        <f>BC21</f>
        <v>0</v>
      </c>
      <c r="EQ51" s="104">
        <f>BA47</f>
        <v>0</v>
      </c>
      <c r="ER51" s="140">
        <f>BA50</f>
        <v>0</v>
      </c>
      <c r="ES51" s="135">
        <f>BA49</f>
        <v>0</v>
      </c>
      <c r="ET51" s="135"/>
      <c r="EU51" s="135"/>
      <c r="EV51" s="193" t="e">
        <f>BA48</f>
        <v>#DIV/0!</v>
      </c>
      <c r="EW51" s="194">
        <f>BA51</f>
        <v>0</v>
      </c>
      <c r="EY51" s="194" t="e">
        <f>BB47</f>
        <v>#DIV/0!</v>
      </c>
    </row>
    <row r="52" spans="11:155" ht="18.75" customHeight="1" x14ac:dyDescent="0.25">
      <c r="M52" s="195"/>
      <c r="X52" s="93"/>
      <c r="Y52" s="92"/>
      <c r="Z52" s="93"/>
      <c r="AA52" s="93"/>
      <c r="AB52" s="93"/>
      <c r="AC52" s="92"/>
      <c r="AD52" s="93"/>
      <c r="AE52" s="93"/>
      <c r="AF52" s="93"/>
      <c r="AG52" s="92"/>
      <c r="AH52" s="93"/>
      <c r="AI52" s="93"/>
      <c r="AJ52" s="93"/>
      <c r="AK52" s="92"/>
      <c r="AL52" s="93"/>
      <c r="AM52" s="93"/>
      <c r="AN52" s="93"/>
      <c r="AO52" s="92"/>
      <c r="AP52" s="93"/>
      <c r="AQ52" s="93"/>
      <c r="AR52" s="93"/>
      <c r="AS52" s="92"/>
      <c r="AT52" s="93"/>
      <c r="AU52" s="93"/>
      <c r="AV52" s="93"/>
      <c r="AW52" s="92"/>
      <c r="AX52" s="93"/>
      <c r="AY52" s="93"/>
      <c r="AZ52" s="93"/>
      <c r="BA52" s="92"/>
      <c r="BB52" s="93"/>
      <c r="BC52" s="93"/>
      <c r="BD52" s="93"/>
      <c r="BE52" s="92"/>
      <c r="BF52" s="93"/>
      <c r="BG52" s="93"/>
      <c r="BH52" s="93"/>
      <c r="BI52" s="92"/>
      <c r="BJ52" s="93"/>
      <c r="BK52" s="93"/>
      <c r="BL52" s="91"/>
      <c r="BM52" s="92"/>
      <c r="BN52" s="93"/>
      <c r="BO52" s="93"/>
      <c r="BP52" s="91"/>
      <c r="BQ52" s="92"/>
      <c r="BR52" s="93"/>
      <c r="BS52" s="93"/>
      <c r="BT52" s="93"/>
      <c r="BU52" s="92"/>
      <c r="BV52" s="93"/>
      <c r="BW52" s="93"/>
      <c r="BX52" s="91"/>
      <c r="BY52" s="92"/>
      <c r="BZ52" s="93"/>
      <c r="CA52" s="93"/>
      <c r="CB52" s="91"/>
      <c r="CC52" s="92"/>
      <c r="CD52" s="93"/>
      <c r="CE52" s="93"/>
      <c r="CF52" s="91"/>
      <c r="CG52" s="92"/>
      <c r="CH52" s="93"/>
      <c r="CI52" s="93"/>
      <c r="CJ52" s="91"/>
      <c r="CK52" s="137"/>
      <c r="CL52" s="138"/>
      <c r="CM52" s="138"/>
      <c r="CN52" s="139"/>
    </row>
    <row r="53" spans="11:155" ht="21" customHeight="1" x14ac:dyDescent="0.25">
      <c r="M53" s="188"/>
      <c r="N53" s="118"/>
      <c r="O53" s="120"/>
      <c r="P53" s="120"/>
      <c r="Q53" s="120"/>
      <c r="R53" s="121"/>
      <c r="S53" s="143"/>
      <c r="T53" s="144"/>
      <c r="U53" s="145"/>
      <c r="V53" s="146"/>
      <c r="X53" s="91" t="s">
        <v>156</v>
      </c>
      <c r="Y53" s="147" t="e">
        <f>VLOOKUP(Z$2,$M$31:$V$32,3,FALSE)</f>
        <v>#N/A</v>
      </c>
      <c r="Z53" s="148"/>
      <c r="AA53" s="148">
        <f>IF(ISERROR(Y53),0,Y53)</f>
        <v>0</v>
      </c>
      <c r="AB53" s="149">
        <f>AB54*AA53</f>
        <v>0</v>
      </c>
      <c r="AC53" s="147" t="e">
        <f>VLOOKUP(AD$2,$M$31:$V$32,3,FALSE)</f>
        <v>#N/A</v>
      </c>
      <c r="AD53" s="148"/>
      <c r="AE53" s="148">
        <f>IF(ISERROR(AC53),0,AC53)</f>
        <v>0</v>
      </c>
      <c r="AF53" s="149">
        <f>AF54*AE53</f>
        <v>0</v>
      </c>
      <c r="AG53" s="147" t="e">
        <f>VLOOKUP(AH$2,$M$31:$V$32,3,FALSE)</f>
        <v>#N/A</v>
      </c>
      <c r="AH53" s="148"/>
      <c r="AI53" s="148">
        <f>IF(ISERROR(AG53),0,AG53)</f>
        <v>0</v>
      </c>
      <c r="AJ53" s="149">
        <f>AJ54*AI53</f>
        <v>0</v>
      </c>
      <c r="AK53" s="147" t="e">
        <f>VLOOKUP(AL$2,$M$31:$V$32,3,FALSE)</f>
        <v>#N/A</v>
      </c>
      <c r="AL53" s="148"/>
      <c r="AM53" s="148">
        <f>IF(ISERROR(AK53),0,AK53)</f>
        <v>0</v>
      </c>
      <c r="AN53" s="149">
        <f>AN54*AM53</f>
        <v>0</v>
      </c>
      <c r="AO53" s="147" t="e">
        <f>VLOOKUP(AP$2,$M$31:$V$32,3,FALSE)</f>
        <v>#N/A</v>
      </c>
      <c r="AP53" s="148"/>
      <c r="AQ53" s="148">
        <f>IF(ISERROR(AO53),0,AO53)</f>
        <v>0</v>
      </c>
      <c r="AR53" s="149">
        <f>AR54*AQ53</f>
        <v>0</v>
      </c>
      <c r="AS53" s="147" t="e">
        <f>VLOOKUP(AT$2,$M$31:$V$32,3,FALSE)</f>
        <v>#N/A</v>
      </c>
      <c r="AT53" s="148"/>
      <c r="AU53" s="148">
        <f>IF(ISERROR(AS53),0,AS53)</f>
        <v>0</v>
      </c>
      <c r="AV53" s="149">
        <f>AV54*AU53</f>
        <v>0</v>
      </c>
      <c r="AW53" s="147" t="e">
        <f>VLOOKUP(AX$2,$M$31:$V$32,3,FALSE)</f>
        <v>#N/A</v>
      </c>
      <c r="AX53" s="148"/>
      <c r="AY53" s="148">
        <f>IF(ISERROR(AW53),0,AW53)</f>
        <v>0</v>
      </c>
      <c r="AZ53" s="149">
        <f>AZ54*AY53</f>
        <v>0</v>
      </c>
      <c r="BA53" s="147" t="e">
        <f>VLOOKUP(BB$2,$M$31:$V$32,3,FALSE)</f>
        <v>#N/A</v>
      </c>
      <c r="BB53" s="148"/>
      <c r="BC53" s="148">
        <f>IF(ISERROR(BA53),0,BA53)</f>
        <v>0</v>
      </c>
      <c r="BD53" s="149">
        <f>BD54*BC53</f>
        <v>0</v>
      </c>
      <c r="BE53" s="147" t="e">
        <f>VLOOKUP(BF$2,$M$31:$V$32,3,FALSE)</f>
        <v>#N/A</v>
      </c>
      <c r="BF53" s="148"/>
      <c r="BG53" s="148">
        <f>IF(ISERROR(BE53),0,BE53)</f>
        <v>0</v>
      </c>
      <c r="BH53" s="149">
        <f>BH54*BG53</f>
        <v>0</v>
      </c>
      <c r="BI53" s="147" t="e">
        <f>VLOOKUP(BJ$2,$M$31:$V$32,3,FALSE)</f>
        <v>#N/A</v>
      </c>
      <c r="BJ53" s="148"/>
      <c r="BK53" s="148">
        <f>IF(ISERROR(BI53),0,BI53)</f>
        <v>0</v>
      </c>
      <c r="BL53" s="149">
        <f>BL54*BK53</f>
        <v>0</v>
      </c>
      <c r="BM53" s="147" t="e">
        <f>VLOOKUP(BN$2,$M$31:$V$32,3,FALSE)</f>
        <v>#N/A</v>
      </c>
      <c r="BN53" s="148"/>
      <c r="BO53" s="148">
        <f>IF(ISERROR(BM53),0,BM53)</f>
        <v>0</v>
      </c>
      <c r="BP53" s="149">
        <f>BP54*BO53</f>
        <v>0</v>
      </c>
      <c r="BQ53" s="147" t="e">
        <f>VLOOKUP(BR$2,$M$31:$V$32,3,FALSE)</f>
        <v>#N/A</v>
      </c>
      <c r="BR53" s="148"/>
      <c r="BS53" s="148">
        <f>IF(ISERROR(BQ53),0,BQ53)</f>
        <v>0</v>
      </c>
      <c r="BT53" s="149">
        <f>BT54*BS53</f>
        <v>0</v>
      </c>
      <c r="BU53" s="147" t="e">
        <f>VLOOKUP(BV$2,$M$31:$V$32,3,FALSE)</f>
        <v>#N/A</v>
      </c>
      <c r="BV53" s="148"/>
      <c r="BW53" s="148">
        <f>IF(ISERROR(BU53),0,BU53)</f>
        <v>0</v>
      </c>
      <c r="BX53" s="149">
        <f>BX54*BW53</f>
        <v>0</v>
      </c>
      <c r="BY53" s="147" t="e">
        <f>VLOOKUP(BZ$2,$M$31:$V$32,3,FALSE)</f>
        <v>#N/A</v>
      </c>
      <c r="BZ53" s="148"/>
      <c r="CA53" s="148">
        <f>IF(ISERROR(BY53),0,BY53)</f>
        <v>0</v>
      </c>
      <c r="CB53" s="149">
        <f>CB54*CA53</f>
        <v>0</v>
      </c>
      <c r="CC53" s="147" t="e">
        <f>VLOOKUP(CD$2,$M$31:$V$32,3,FALSE)</f>
        <v>#N/A</v>
      </c>
      <c r="CD53" s="148"/>
      <c r="CE53" s="148">
        <f>IF(ISERROR(CC53),0,CC53)</f>
        <v>0</v>
      </c>
      <c r="CF53" s="149">
        <f>CF54*CE53</f>
        <v>0</v>
      </c>
      <c r="CG53" s="147" t="e">
        <f>VLOOKUP(CH$2,$M$31:$V$32,3,FALSE)</f>
        <v>#N/A</v>
      </c>
      <c r="CH53" s="148"/>
      <c r="CI53" s="148">
        <f>IF(ISERROR(CG53),0,CG53)</f>
        <v>0</v>
      </c>
      <c r="CJ53" s="149">
        <f>CJ54*CI53</f>
        <v>0</v>
      </c>
      <c r="CK53" s="137"/>
      <c r="CL53" s="138"/>
      <c r="CM53" s="138"/>
      <c r="CN53" s="139"/>
    </row>
    <row r="54" spans="11:155" ht="21" customHeight="1" x14ac:dyDescent="0.25">
      <c r="M54" s="188"/>
      <c r="N54" s="118"/>
      <c r="O54" s="120"/>
      <c r="P54" s="118"/>
      <c r="Q54" s="120"/>
      <c r="R54" s="121"/>
      <c r="S54" s="122"/>
      <c r="T54" s="144"/>
      <c r="U54" s="145"/>
      <c r="V54" s="146"/>
      <c r="X54" s="91"/>
      <c r="Y54" s="147"/>
      <c r="Z54" s="148"/>
      <c r="AA54" s="148"/>
      <c r="AB54" s="149"/>
      <c r="AC54" s="147"/>
      <c r="AD54" s="148"/>
      <c r="AE54" s="148"/>
      <c r="AF54" s="149"/>
      <c r="AG54" s="147"/>
      <c r="AH54" s="148"/>
      <c r="AI54" s="148"/>
      <c r="AJ54" s="149"/>
      <c r="AK54" s="147"/>
      <c r="AL54" s="148"/>
      <c r="AM54" s="148"/>
      <c r="AN54" s="149"/>
      <c r="AO54" s="147"/>
      <c r="AP54" s="148"/>
      <c r="AQ54" s="148"/>
      <c r="AR54" s="149"/>
      <c r="AS54" s="147"/>
      <c r="AT54" s="148"/>
      <c r="AU54" s="148"/>
      <c r="AV54" s="149"/>
      <c r="AW54" s="147"/>
      <c r="AX54" s="148"/>
      <c r="AY54" s="148"/>
      <c r="AZ54" s="149"/>
      <c r="BA54" s="147"/>
      <c r="BB54" s="148"/>
      <c r="BC54" s="148"/>
      <c r="BD54" s="149"/>
      <c r="BE54" s="147"/>
      <c r="BF54" s="148"/>
      <c r="BG54" s="148"/>
      <c r="BH54" s="149"/>
      <c r="BI54" s="147"/>
      <c r="BJ54" s="148"/>
      <c r="BK54" s="148"/>
      <c r="BL54" s="149"/>
      <c r="BM54" s="147"/>
      <c r="BN54" s="148"/>
      <c r="BO54" s="148"/>
      <c r="BP54" s="149"/>
      <c r="BQ54" s="147"/>
      <c r="BR54" s="148"/>
      <c r="BS54" s="148"/>
      <c r="BT54" s="149"/>
      <c r="BU54" s="147"/>
      <c r="BV54" s="148"/>
      <c r="BW54" s="148"/>
      <c r="BX54" s="149"/>
      <c r="BY54" s="147"/>
      <c r="BZ54" s="148"/>
      <c r="CA54" s="148"/>
      <c r="CB54" s="149"/>
      <c r="CC54" s="147"/>
      <c r="CD54" s="148"/>
      <c r="CE54" s="148"/>
      <c r="CF54" s="149"/>
      <c r="CG54" s="147"/>
      <c r="CH54" s="148"/>
      <c r="CI54" s="148"/>
      <c r="CJ54" s="149"/>
      <c r="CK54" s="137"/>
      <c r="CL54" s="138"/>
      <c r="CM54" s="138"/>
      <c r="CN54" s="139"/>
    </row>
    <row r="55" spans="11:155" ht="16.5" customHeight="1" x14ac:dyDescent="0.25">
      <c r="X55" s="91"/>
      <c r="Y55" s="147"/>
      <c r="Z55" s="148"/>
      <c r="AA55" s="150">
        <f>AA53</f>
        <v>0</v>
      </c>
      <c r="AB55" s="149"/>
      <c r="AC55" s="147"/>
      <c r="AD55" s="148"/>
      <c r="AE55" s="150">
        <f>AE53</f>
        <v>0</v>
      </c>
      <c r="AF55" s="149"/>
      <c r="AG55" s="147"/>
      <c r="AH55" s="148"/>
      <c r="AI55" s="150">
        <f>AI53</f>
        <v>0</v>
      </c>
      <c r="AJ55" s="149"/>
      <c r="AK55" s="147"/>
      <c r="AL55" s="148"/>
      <c r="AM55" s="150">
        <f>AM53</f>
        <v>0</v>
      </c>
      <c r="AN55" s="149"/>
      <c r="AO55" s="147"/>
      <c r="AP55" s="148"/>
      <c r="AQ55" s="150">
        <f>AQ53</f>
        <v>0</v>
      </c>
      <c r="AR55" s="149"/>
      <c r="AS55" s="147"/>
      <c r="AT55" s="148"/>
      <c r="AU55" s="150">
        <f>AU53</f>
        <v>0</v>
      </c>
      <c r="AV55" s="149"/>
      <c r="AW55" s="147"/>
      <c r="AX55" s="148"/>
      <c r="AY55" s="150">
        <f>AY53</f>
        <v>0</v>
      </c>
      <c r="AZ55" s="149"/>
      <c r="BA55" s="147"/>
      <c r="BB55" s="148"/>
      <c r="BC55" s="150">
        <f>BC53</f>
        <v>0</v>
      </c>
      <c r="BD55" s="149"/>
      <c r="BE55" s="147"/>
      <c r="BF55" s="148"/>
      <c r="BG55" s="150">
        <f>BG53</f>
        <v>0</v>
      </c>
      <c r="BH55" s="149"/>
      <c r="BI55" s="147"/>
      <c r="BJ55" s="148"/>
      <c r="BK55" s="150">
        <f>BK53</f>
        <v>0</v>
      </c>
      <c r="BL55" s="149"/>
      <c r="BM55" s="147"/>
      <c r="BN55" s="148"/>
      <c r="BO55" s="150">
        <f>BO53</f>
        <v>0</v>
      </c>
      <c r="BP55" s="149"/>
      <c r="BQ55" s="147"/>
      <c r="BR55" s="148"/>
      <c r="BS55" s="150">
        <f>BS53</f>
        <v>0</v>
      </c>
      <c r="BT55" s="149"/>
      <c r="BU55" s="147"/>
      <c r="BV55" s="148"/>
      <c r="BW55" s="150">
        <f>BW53</f>
        <v>0</v>
      </c>
      <c r="BX55" s="149"/>
      <c r="BY55" s="147"/>
      <c r="BZ55" s="148"/>
      <c r="CA55" s="150">
        <f>CA53</f>
        <v>0</v>
      </c>
      <c r="CB55" s="149"/>
      <c r="CC55" s="147"/>
      <c r="CD55" s="148"/>
      <c r="CE55" s="150">
        <f>CE53</f>
        <v>0</v>
      </c>
      <c r="CF55" s="149"/>
      <c r="CG55" s="147"/>
      <c r="CH55" s="148"/>
      <c r="CI55" s="150">
        <f>CI53</f>
        <v>0</v>
      </c>
      <c r="CJ55" s="149"/>
      <c r="CK55" s="137"/>
      <c r="CL55" s="138"/>
      <c r="CM55" s="138"/>
      <c r="CN55" s="139"/>
    </row>
    <row r="56" spans="11:155" ht="15.75" customHeight="1" x14ac:dyDescent="0.25">
      <c r="X56" s="91" t="s">
        <v>157</v>
      </c>
      <c r="Y56" s="147" t="e">
        <f>VLOOKUP(Z$2,$M$31:$V$32,4,FALSE)</f>
        <v>#N/A</v>
      </c>
      <c r="Z56" s="148"/>
      <c r="AA56" s="148">
        <f>IF(ISERROR(Y56),0,Y56)</f>
        <v>0</v>
      </c>
      <c r="AB56" s="149">
        <f>IF(ISERROR(Z56),0,Z56)</f>
        <v>0</v>
      </c>
      <c r="AC56" s="147" t="e">
        <f>VLOOKUP(AD$2,$M$31:$V$32,4,FALSE)</f>
        <v>#N/A</v>
      </c>
      <c r="AD56" s="148"/>
      <c r="AE56" s="148">
        <f>IF(ISERROR(AC56),0,AC56)</f>
        <v>0</v>
      </c>
      <c r="AF56" s="149">
        <f>IF(ISERROR(AD56),0,AD56)</f>
        <v>0</v>
      </c>
      <c r="AG56" s="147" t="e">
        <f>VLOOKUP(AH$2,$M$31:$V$32,4,FALSE)</f>
        <v>#N/A</v>
      </c>
      <c r="AH56" s="148"/>
      <c r="AI56" s="148">
        <f>IF(ISERROR(AG56),0,AG56)</f>
        <v>0</v>
      </c>
      <c r="AJ56" s="149">
        <f>IF(ISERROR(AH56),0,AH56)</f>
        <v>0</v>
      </c>
      <c r="AK56" s="147" t="e">
        <f>VLOOKUP(AL$2,$M$31:$V$32,4,FALSE)</f>
        <v>#N/A</v>
      </c>
      <c r="AL56" s="148"/>
      <c r="AM56" s="148">
        <f>IF(ISERROR(AK56),0,AK56)</f>
        <v>0</v>
      </c>
      <c r="AN56" s="149">
        <f>IF(ISERROR(AL56),0,AL56)</f>
        <v>0</v>
      </c>
      <c r="AO56" s="147" t="e">
        <f>VLOOKUP(AP$2,$M$31:$V$32,4,FALSE)</f>
        <v>#N/A</v>
      </c>
      <c r="AP56" s="148"/>
      <c r="AQ56" s="148">
        <f>IF(ISERROR(AO56),0,AO56)</f>
        <v>0</v>
      </c>
      <c r="AR56" s="149">
        <f>IF(ISERROR(AP56),0,AP56)</f>
        <v>0</v>
      </c>
      <c r="AS56" s="147" t="e">
        <f>VLOOKUP(AT$2,$M$31:$V$32,4,FALSE)</f>
        <v>#N/A</v>
      </c>
      <c r="AT56" s="148"/>
      <c r="AU56" s="148">
        <f>IF(ISERROR(AS56),0,AS56)</f>
        <v>0</v>
      </c>
      <c r="AV56" s="149">
        <f>IF(ISERROR(AT56),0,AT56)</f>
        <v>0</v>
      </c>
      <c r="AW56" s="147" t="e">
        <f>VLOOKUP(AX$2,$M$31:$V$32,4,FALSE)</f>
        <v>#N/A</v>
      </c>
      <c r="AX56" s="148"/>
      <c r="AY56" s="148">
        <f>IF(ISERROR(AW56),0,AW56)</f>
        <v>0</v>
      </c>
      <c r="AZ56" s="149">
        <f>IF(ISERROR(AX56),0,AX56)</f>
        <v>0</v>
      </c>
      <c r="BA56" s="147" t="e">
        <f>VLOOKUP(BB$2,$M$31:$V$32,4,FALSE)</f>
        <v>#N/A</v>
      </c>
      <c r="BB56" s="148"/>
      <c r="BC56" s="148">
        <f>IF(ISERROR(BA56),0,BA56)</f>
        <v>0</v>
      </c>
      <c r="BD56" s="149">
        <f>IF(ISERROR(BB56),0,BB56)</f>
        <v>0</v>
      </c>
      <c r="BE56" s="147" t="e">
        <f>VLOOKUP(BF$2,$M$31:$V$32,4,FALSE)</f>
        <v>#N/A</v>
      </c>
      <c r="BF56" s="148"/>
      <c r="BG56" s="148">
        <f>IF(ISERROR(BE56),0,BE56)</f>
        <v>0</v>
      </c>
      <c r="BH56" s="149">
        <f>IF(ISERROR(BF56),0,BF56)</f>
        <v>0</v>
      </c>
      <c r="BI56" s="147" t="e">
        <f>VLOOKUP(BJ$2,$M$31:$V$32,4,FALSE)</f>
        <v>#N/A</v>
      </c>
      <c r="BJ56" s="148"/>
      <c r="BK56" s="148">
        <f>IF(ISERROR(BI56),0,BI56)</f>
        <v>0</v>
      </c>
      <c r="BL56" s="149">
        <f>IF(ISERROR(BJ56),0,BJ56)</f>
        <v>0</v>
      </c>
      <c r="BM56" s="147" t="e">
        <f>VLOOKUP(BN$2,$M$31:$V$32,4,FALSE)</f>
        <v>#N/A</v>
      </c>
      <c r="BN56" s="148"/>
      <c r="BO56" s="148">
        <f>IF(ISERROR(BM56),0,BM56)</f>
        <v>0</v>
      </c>
      <c r="BP56" s="149">
        <f>IF(ISERROR(BN56),0,BN56)</f>
        <v>0</v>
      </c>
      <c r="BQ56" s="147" t="e">
        <f>VLOOKUP(BR$2,$M$31:$V$32,4,FALSE)</f>
        <v>#N/A</v>
      </c>
      <c r="BR56" s="148"/>
      <c r="BS56" s="148">
        <f>IF(ISERROR(BQ56),0,BQ56)</f>
        <v>0</v>
      </c>
      <c r="BT56" s="149">
        <f>IF(ISERROR(BR56),0,BR56)</f>
        <v>0</v>
      </c>
      <c r="BU56" s="147" t="e">
        <f>VLOOKUP(BV$2,$M$31:$V$32,4,FALSE)</f>
        <v>#N/A</v>
      </c>
      <c r="BV56" s="148"/>
      <c r="BW56" s="148">
        <f>IF(ISERROR(BU56),0,BU56)</f>
        <v>0</v>
      </c>
      <c r="BX56" s="149">
        <f>IF(ISERROR(BV56),0,BV56)</f>
        <v>0</v>
      </c>
      <c r="BY56" s="147" t="e">
        <f>VLOOKUP(BZ$2,$M$31:$V$32,4,FALSE)</f>
        <v>#N/A</v>
      </c>
      <c r="BZ56" s="148"/>
      <c r="CA56" s="148">
        <f>IF(ISERROR(BY56),0,BY56)</f>
        <v>0</v>
      </c>
      <c r="CB56" s="149">
        <f>IF(ISERROR(BZ56),0,BZ56)</f>
        <v>0</v>
      </c>
      <c r="CC56" s="147" t="e">
        <f>VLOOKUP(CD$2,$M$31:$V$32,4,FALSE)</f>
        <v>#N/A</v>
      </c>
      <c r="CD56" s="148"/>
      <c r="CE56" s="148">
        <f>IF(ISERROR(CC56),0,CC56)</f>
        <v>0</v>
      </c>
      <c r="CF56" s="149">
        <f>IF(ISERROR(CD56),0,CD56)</f>
        <v>0</v>
      </c>
      <c r="CG56" s="147" t="e">
        <f>VLOOKUP(CH$2,$M$31:$V$32,4,FALSE)</f>
        <v>#N/A</v>
      </c>
      <c r="CH56" s="148"/>
      <c r="CI56" s="148">
        <f>IF(ISERROR(CG56),0,CG56)</f>
        <v>0</v>
      </c>
      <c r="CJ56" s="149">
        <f>IF(ISERROR(CH56),0,CH56)</f>
        <v>0</v>
      </c>
      <c r="CK56" s="137"/>
      <c r="CL56" s="138"/>
      <c r="CM56" s="138"/>
      <c r="CN56" s="139"/>
    </row>
    <row r="57" spans="11:155" ht="15.75" customHeight="1" x14ac:dyDescent="0.25">
      <c r="K57" s="96"/>
      <c r="X57" s="91"/>
      <c r="Y57" s="147"/>
      <c r="Z57" s="148"/>
      <c r="AA57" s="150">
        <f>AA56+AB56</f>
        <v>0</v>
      </c>
      <c r="AB57" s="149"/>
      <c r="AC57" s="147"/>
      <c r="AD57" s="148"/>
      <c r="AE57" s="150">
        <f>AE56+AF56</f>
        <v>0</v>
      </c>
      <c r="AF57" s="149"/>
      <c r="AG57" s="147"/>
      <c r="AH57" s="148"/>
      <c r="AI57" s="150">
        <f>AI56+AJ56</f>
        <v>0</v>
      </c>
      <c r="AJ57" s="149"/>
      <c r="AK57" s="147"/>
      <c r="AL57" s="148"/>
      <c r="AM57" s="150">
        <f>AM56+AN56</f>
        <v>0</v>
      </c>
      <c r="AN57" s="149"/>
      <c r="AO57" s="147"/>
      <c r="AP57" s="148"/>
      <c r="AQ57" s="150">
        <f>AQ56+AR56</f>
        <v>0</v>
      </c>
      <c r="AR57" s="149"/>
      <c r="AS57" s="147"/>
      <c r="AT57" s="148"/>
      <c r="AU57" s="150">
        <f>AU56+AV56</f>
        <v>0</v>
      </c>
      <c r="AV57" s="149"/>
      <c r="AW57" s="147"/>
      <c r="AX57" s="148"/>
      <c r="AY57" s="150">
        <f>AY56+AZ56</f>
        <v>0</v>
      </c>
      <c r="AZ57" s="149"/>
      <c r="BA57" s="147"/>
      <c r="BB57" s="148"/>
      <c r="BC57" s="150">
        <f>BC56+BD56</f>
        <v>0</v>
      </c>
      <c r="BD57" s="149"/>
      <c r="BE57" s="147"/>
      <c r="BF57" s="148"/>
      <c r="BG57" s="150">
        <f>BG56+BH56</f>
        <v>0</v>
      </c>
      <c r="BH57" s="149"/>
      <c r="BI57" s="147"/>
      <c r="BJ57" s="148"/>
      <c r="BK57" s="150">
        <f>BK56+BL56</f>
        <v>0</v>
      </c>
      <c r="BL57" s="149"/>
      <c r="BM57" s="147"/>
      <c r="BN57" s="148"/>
      <c r="BO57" s="150">
        <f>BO56+BP56</f>
        <v>0</v>
      </c>
      <c r="BP57" s="149"/>
      <c r="BQ57" s="147"/>
      <c r="BR57" s="148"/>
      <c r="BS57" s="150">
        <f>BS56+BT56</f>
        <v>0</v>
      </c>
      <c r="BT57" s="149"/>
      <c r="BU57" s="147"/>
      <c r="BV57" s="148"/>
      <c r="BW57" s="150">
        <f>BW56+BX56</f>
        <v>0</v>
      </c>
      <c r="BX57" s="149"/>
      <c r="BY57" s="147"/>
      <c r="BZ57" s="148"/>
      <c r="CA57" s="150">
        <f>CA56+CB56</f>
        <v>0</v>
      </c>
      <c r="CB57" s="149"/>
      <c r="CC57" s="147"/>
      <c r="CD57" s="148"/>
      <c r="CE57" s="150">
        <f>CE56+CF56</f>
        <v>0</v>
      </c>
      <c r="CF57" s="149"/>
      <c r="CG57" s="147"/>
      <c r="CH57" s="148"/>
      <c r="CI57" s="150">
        <f>CI56+CJ56</f>
        <v>0</v>
      </c>
      <c r="CJ57" s="149"/>
      <c r="CK57" s="137"/>
      <c r="CL57" s="138"/>
      <c r="CM57" s="138"/>
      <c r="CN57" s="139"/>
    </row>
    <row r="58" spans="11:155" ht="16.5" customHeight="1" x14ac:dyDescent="0.25">
      <c r="X58" s="91" t="s">
        <v>158</v>
      </c>
      <c r="Y58" s="147" t="e">
        <f>VLOOKUP(Z$2,$M$31:$V$32,9,FALSE)</f>
        <v>#N/A</v>
      </c>
      <c r="Z58" s="148"/>
      <c r="AA58" s="150">
        <f>IF(ISERROR(Y58),0,Y58)</f>
        <v>0</v>
      </c>
      <c r="AB58" s="149">
        <f>IF(ISERROR(Z58),0,Z58)</f>
        <v>0</v>
      </c>
      <c r="AC58" s="147" t="e">
        <f>VLOOKUP(AD$2,$M$31:$V$32,9,FALSE)</f>
        <v>#N/A</v>
      </c>
      <c r="AD58" s="148"/>
      <c r="AE58" s="150">
        <f>IF(ISERROR(AC58),0,AC58)</f>
        <v>0</v>
      </c>
      <c r="AF58" s="149">
        <f>IF(ISERROR(AD58),0,AD58)</f>
        <v>0</v>
      </c>
      <c r="AG58" s="147" t="e">
        <f>VLOOKUP(AH$2,$M$31:$V$32,9,FALSE)</f>
        <v>#N/A</v>
      </c>
      <c r="AH58" s="148"/>
      <c r="AI58" s="150">
        <f>IF(ISERROR(AG58),0,AG58)</f>
        <v>0</v>
      </c>
      <c r="AJ58" s="149">
        <f>IF(ISERROR(AH58),0,AH58)</f>
        <v>0</v>
      </c>
      <c r="AK58" s="147" t="e">
        <f>VLOOKUP(AL$2,$M$31:$V$32,9,FALSE)</f>
        <v>#N/A</v>
      </c>
      <c r="AL58" s="148"/>
      <c r="AM58" s="150">
        <f>IF(ISERROR(AK58),0,AK58)</f>
        <v>0</v>
      </c>
      <c r="AN58" s="149">
        <f>IF(ISERROR(AL58),0,AL58)</f>
        <v>0</v>
      </c>
      <c r="AO58" s="147" t="e">
        <f>VLOOKUP(AP$2,$M$31:$V$32,9,FALSE)</f>
        <v>#N/A</v>
      </c>
      <c r="AP58" s="148"/>
      <c r="AQ58" s="150">
        <f>IF(ISERROR(AO58),0,AO58)</f>
        <v>0</v>
      </c>
      <c r="AR58" s="149">
        <f>IF(ISERROR(AP58),0,AP58)</f>
        <v>0</v>
      </c>
      <c r="AS58" s="147" t="e">
        <f>VLOOKUP(AT$2,$M$31:$V$32,9,FALSE)</f>
        <v>#N/A</v>
      </c>
      <c r="AT58" s="148"/>
      <c r="AU58" s="150">
        <f>IF(ISERROR(AS58),0,AS58)</f>
        <v>0</v>
      </c>
      <c r="AV58" s="149">
        <f>IF(ISERROR(AT58),0,AT58)</f>
        <v>0</v>
      </c>
      <c r="AW58" s="147" t="e">
        <f>VLOOKUP(AX$2,$M$31:$V$32,9,FALSE)</f>
        <v>#N/A</v>
      </c>
      <c r="AX58" s="148"/>
      <c r="AY58" s="150">
        <f>IF(ISERROR(AW58),0,AW58)</f>
        <v>0</v>
      </c>
      <c r="AZ58" s="149">
        <f>IF(ISERROR(AX58),0,AX58)</f>
        <v>0</v>
      </c>
      <c r="BA58" s="147" t="e">
        <f>VLOOKUP(BB$2,$M$31:$V$32,9,FALSE)</f>
        <v>#N/A</v>
      </c>
      <c r="BB58" s="148"/>
      <c r="BC58" s="150">
        <f>IF(ISERROR(BA58),0,BA58)</f>
        <v>0</v>
      </c>
      <c r="BD58" s="149">
        <f>IF(ISERROR(BB58),0,BB58)</f>
        <v>0</v>
      </c>
      <c r="BE58" s="147" t="e">
        <f>VLOOKUP(BF$2,$M$31:$V$32,9,FALSE)</f>
        <v>#N/A</v>
      </c>
      <c r="BF58" s="148"/>
      <c r="BG58" s="150">
        <f>IF(ISERROR(BE58),0,BE58)</f>
        <v>0</v>
      </c>
      <c r="BH58" s="149">
        <f>IF(ISERROR(BF58),0,BF58)</f>
        <v>0</v>
      </c>
      <c r="BI58" s="147" t="e">
        <f>VLOOKUP(BJ$2,$M$31:$V$32,9,FALSE)</f>
        <v>#N/A</v>
      </c>
      <c r="BJ58" s="148"/>
      <c r="BK58" s="150">
        <f>IF(ISERROR(BI58),0,BI58)</f>
        <v>0</v>
      </c>
      <c r="BL58" s="149">
        <f>IF(ISERROR(BJ58),0,BJ58)</f>
        <v>0</v>
      </c>
      <c r="BM58" s="147" t="e">
        <f>VLOOKUP(BN$2,$M$31:$V$32,9,FALSE)</f>
        <v>#N/A</v>
      </c>
      <c r="BN58" s="148"/>
      <c r="BO58" s="150">
        <f>IF(ISERROR(BM58),0,BM58)</f>
        <v>0</v>
      </c>
      <c r="BP58" s="149">
        <f>IF(ISERROR(BN58),0,BN58)</f>
        <v>0</v>
      </c>
      <c r="BQ58" s="147" t="e">
        <f>VLOOKUP(BR$2,$M$31:$V$32,9,FALSE)</f>
        <v>#N/A</v>
      </c>
      <c r="BR58" s="148"/>
      <c r="BS58" s="150">
        <f>IF(ISERROR(BQ58),0,BQ58)</f>
        <v>0</v>
      </c>
      <c r="BT58" s="149">
        <f>IF(ISERROR(BR58),0,BR58)</f>
        <v>0</v>
      </c>
      <c r="BU58" s="147" t="e">
        <f>VLOOKUP(BV$2,$M$31:$V$32,9,FALSE)</f>
        <v>#N/A</v>
      </c>
      <c r="BV58" s="148"/>
      <c r="BW58" s="150">
        <f>IF(ISERROR(BU58),0,BU58)</f>
        <v>0</v>
      </c>
      <c r="BX58" s="149">
        <f>IF(ISERROR(BV58),0,BV58)</f>
        <v>0</v>
      </c>
      <c r="BY58" s="147" t="e">
        <f>VLOOKUP(BZ$2,$M$31:$V$32,9,FALSE)</f>
        <v>#N/A</v>
      </c>
      <c r="BZ58" s="148"/>
      <c r="CA58" s="150">
        <f>IF(ISERROR(BY58),0,BY58)</f>
        <v>0</v>
      </c>
      <c r="CB58" s="149">
        <f>IF(ISERROR(BZ58),0,BZ58)</f>
        <v>0</v>
      </c>
      <c r="CC58" s="147" t="e">
        <f>VLOOKUP(CD$2,$M$31:$V$32,9,FALSE)</f>
        <v>#N/A</v>
      </c>
      <c r="CD58" s="148"/>
      <c r="CE58" s="150">
        <f>IF(ISERROR(CC58),0,CC58)</f>
        <v>0</v>
      </c>
      <c r="CF58" s="149">
        <f>IF(ISERROR(CD58),0,CD58)</f>
        <v>0</v>
      </c>
      <c r="CG58" s="147" t="e">
        <f>VLOOKUP(CH$2,$M$31:$V$32,9,FALSE)</f>
        <v>#N/A</v>
      </c>
      <c r="CH58" s="148"/>
      <c r="CI58" s="150">
        <f>IF(ISERROR(CG58),0,CG58)</f>
        <v>0</v>
      </c>
      <c r="CJ58" s="149">
        <f>IF(ISERROR(CH58),0,CH58)</f>
        <v>0</v>
      </c>
      <c r="CK58" s="137"/>
      <c r="CL58" s="138"/>
      <c r="CM58" s="138"/>
      <c r="CN58" s="139"/>
    </row>
    <row r="59" spans="11:155" ht="15.75" customHeight="1" x14ac:dyDescent="0.25">
      <c r="X59" s="93"/>
      <c r="Y59" s="147" t="e">
        <f>VLOOKUP(Z$2,$M$31:$V$32,5,FALSE)</f>
        <v>#N/A</v>
      </c>
      <c r="Z59" s="148"/>
      <c r="AA59" s="148">
        <f>IF(ISERROR(Y59),0,Y59)</f>
        <v>0</v>
      </c>
      <c r="AB59" s="149">
        <f>IF(ISERROR(Z59),0,Z59)</f>
        <v>0</v>
      </c>
      <c r="AC59" s="147" t="e">
        <f>VLOOKUP(AD$2,$M$31:$V$32,5,FALSE)</f>
        <v>#N/A</v>
      </c>
      <c r="AD59" s="148"/>
      <c r="AE59" s="148">
        <f>IF(ISERROR(AC59),0,AC59)</f>
        <v>0</v>
      </c>
      <c r="AF59" s="149">
        <f>IF(ISERROR(AD59),0,AD59)</f>
        <v>0</v>
      </c>
      <c r="AG59" s="147" t="e">
        <f>VLOOKUP(AH$2,$M$31:$V$32,5,FALSE)</f>
        <v>#N/A</v>
      </c>
      <c r="AH59" s="148"/>
      <c r="AI59" s="148">
        <f>IF(ISERROR(AG59),0,AG59)</f>
        <v>0</v>
      </c>
      <c r="AJ59" s="149">
        <f>IF(ISERROR(AH59),0,AH59)</f>
        <v>0</v>
      </c>
      <c r="AK59" s="147" t="e">
        <f>VLOOKUP(AL$2,$M$31:$V$32,5,FALSE)</f>
        <v>#N/A</v>
      </c>
      <c r="AL59" s="148"/>
      <c r="AM59" s="148">
        <f>IF(ISERROR(AK59),0,AK59)</f>
        <v>0</v>
      </c>
      <c r="AN59" s="149">
        <f>IF(ISERROR(AL59),0,AL59)</f>
        <v>0</v>
      </c>
      <c r="AO59" s="147" t="e">
        <f>VLOOKUP(AP$2,$M$31:$V$32,5,FALSE)</f>
        <v>#N/A</v>
      </c>
      <c r="AP59" s="148"/>
      <c r="AQ59" s="148">
        <f>IF(ISERROR(AO59),0,AO59)</f>
        <v>0</v>
      </c>
      <c r="AR59" s="149">
        <f>IF(ISERROR(AP59),0,AP59)</f>
        <v>0</v>
      </c>
      <c r="AS59" s="147" t="e">
        <f>VLOOKUP(AT$2,$M$31:$V$32,5,FALSE)</f>
        <v>#N/A</v>
      </c>
      <c r="AT59" s="148"/>
      <c r="AU59" s="148">
        <f>IF(ISERROR(AS59),0,AS59)</f>
        <v>0</v>
      </c>
      <c r="AV59" s="149">
        <f>IF(ISERROR(AT59),0,AT59)</f>
        <v>0</v>
      </c>
      <c r="AW59" s="147" t="e">
        <f>VLOOKUP(AX$2,$M$31:$V$32,5,FALSE)</f>
        <v>#N/A</v>
      </c>
      <c r="AX59" s="148"/>
      <c r="AY59" s="148">
        <f>IF(ISERROR(AW59),0,AW59)</f>
        <v>0</v>
      </c>
      <c r="AZ59" s="149">
        <f>IF(ISERROR(AX59),0,AX59)</f>
        <v>0</v>
      </c>
      <c r="BA59" s="147" t="e">
        <f>VLOOKUP(BB$2,$M$31:$V$32,5,FALSE)</f>
        <v>#N/A</v>
      </c>
      <c r="BB59" s="148"/>
      <c r="BC59" s="148">
        <f>IF(ISERROR(BA59),0,BA59)</f>
        <v>0</v>
      </c>
      <c r="BD59" s="149">
        <f>IF(ISERROR(BB59),0,BB59)</f>
        <v>0</v>
      </c>
      <c r="BE59" s="147" t="e">
        <f>VLOOKUP(BF$2,$M$31:$V$32,5,FALSE)</f>
        <v>#N/A</v>
      </c>
      <c r="BF59" s="148"/>
      <c r="BG59" s="148">
        <f>IF(ISERROR(BE59),0,BE59)</f>
        <v>0</v>
      </c>
      <c r="BH59" s="149">
        <f>IF(ISERROR(BF59),0,BF59)</f>
        <v>0</v>
      </c>
      <c r="BI59" s="147" t="e">
        <f>VLOOKUP(BJ$2,$M$31:$V$32,5,FALSE)</f>
        <v>#N/A</v>
      </c>
      <c r="BJ59" s="148"/>
      <c r="BK59" s="148">
        <f>IF(ISERROR(BI59),0,BI59)</f>
        <v>0</v>
      </c>
      <c r="BL59" s="149">
        <f>IF(ISERROR(BJ59),0,BJ59)</f>
        <v>0</v>
      </c>
      <c r="BM59" s="147" t="e">
        <f>VLOOKUP(BN$2,$M$31:$V$32,5,FALSE)</f>
        <v>#N/A</v>
      </c>
      <c r="BN59" s="148"/>
      <c r="BO59" s="148">
        <f>IF(ISERROR(BM59),0,BM59)</f>
        <v>0</v>
      </c>
      <c r="BP59" s="149">
        <f>IF(ISERROR(BN59),0,BN59)</f>
        <v>0</v>
      </c>
      <c r="BQ59" s="147" t="e">
        <f>VLOOKUP(BR$2,$M$31:$V$32,5,FALSE)</f>
        <v>#N/A</v>
      </c>
      <c r="BR59" s="148"/>
      <c r="BS59" s="148">
        <f>IF(ISERROR(BQ59),0,BQ59)</f>
        <v>0</v>
      </c>
      <c r="BT59" s="149">
        <f>IF(ISERROR(BR59),0,BR59)</f>
        <v>0</v>
      </c>
      <c r="BU59" s="147" t="e">
        <f>VLOOKUP(BV$2,$M$31:$V$32,5,FALSE)</f>
        <v>#N/A</v>
      </c>
      <c r="BV59" s="148"/>
      <c r="BW59" s="148">
        <f>IF(ISERROR(BU59),0,BU59)</f>
        <v>0</v>
      </c>
      <c r="BX59" s="149">
        <f>IF(ISERROR(BV59),0,BV59)</f>
        <v>0</v>
      </c>
      <c r="BY59" s="147" t="e">
        <f>VLOOKUP(BZ$2,$M$31:$V$32,5,FALSE)</f>
        <v>#N/A</v>
      </c>
      <c r="BZ59" s="148"/>
      <c r="CA59" s="148">
        <f>IF(ISERROR(BY59),0,BY59)</f>
        <v>0</v>
      </c>
      <c r="CB59" s="149">
        <f>IF(ISERROR(BZ59),0,BZ59)</f>
        <v>0</v>
      </c>
      <c r="CC59" s="147" t="e">
        <f>VLOOKUP(CD$2,$M$31:$V$32,5,FALSE)</f>
        <v>#N/A</v>
      </c>
      <c r="CD59" s="148"/>
      <c r="CE59" s="148">
        <f>IF(ISERROR(CC59),0,CC59)</f>
        <v>0</v>
      </c>
      <c r="CF59" s="149">
        <f>IF(ISERROR(CD59),0,CD59)</f>
        <v>0</v>
      </c>
      <c r="CG59" s="147" t="e">
        <f>VLOOKUP(CH$2,$M$31:$V$32,5,FALSE)</f>
        <v>#N/A</v>
      </c>
      <c r="CH59" s="148"/>
      <c r="CI59" s="148">
        <f>IF(ISERROR(CG59),0,CG59)</f>
        <v>0</v>
      </c>
      <c r="CJ59" s="149">
        <f>IF(ISERROR(CH59),0,CH59)</f>
        <v>0</v>
      </c>
      <c r="CK59" s="137"/>
      <c r="CL59" s="138"/>
      <c r="CM59" s="138"/>
      <c r="CN59" s="139"/>
    </row>
    <row r="60" spans="11:155" ht="17.25" customHeight="1" x14ac:dyDescent="0.25">
      <c r="X60" s="93" t="s">
        <v>159</v>
      </c>
      <c r="Y60" s="147"/>
      <c r="Z60" s="148"/>
      <c r="AA60" s="150">
        <f>AA59</f>
        <v>0</v>
      </c>
      <c r="AB60" s="149"/>
      <c r="AC60" s="147"/>
      <c r="AD60" s="148"/>
      <c r="AE60" s="150">
        <f>AE59</f>
        <v>0</v>
      </c>
      <c r="AF60" s="149"/>
      <c r="AG60" s="147"/>
      <c r="AH60" s="148"/>
      <c r="AI60" s="150">
        <f>AI59</f>
        <v>0</v>
      </c>
      <c r="AJ60" s="149"/>
      <c r="AK60" s="147"/>
      <c r="AL60" s="148"/>
      <c r="AM60" s="150">
        <f>AM59</f>
        <v>0</v>
      </c>
      <c r="AN60" s="149"/>
      <c r="AO60" s="147"/>
      <c r="AP60" s="148"/>
      <c r="AQ60" s="150">
        <f>AQ59</f>
        <v>0</v>
      </c>
      <c r="AR60" s="149"/>
      <c r="AS60" s="147"/>
      <c r="AT60" s="148"/>
      <c r="AU60" s="150">
        <f>AU59</f>
        <v>0</v>
      </c>
      <c r="AV60" s="149"/>
      <c r="AW60" s="147"/>
      <c r="AX60" s="148"/>
      <c r="AY60" s="150">
        <f>AY59</f>
        <v>0</v>
      </c>
      <c r="AZ60" s="149"/>
      <c r="BA60" s="147"/>
      <c r="BB60" s="148"/>
      <c r="BC60" s="150">
        <f>BC59</f>
        <v>0</v>
      </c>
      <c r="BD60" s="149"/>
      <c r="BE60" s="147"/>
      <c r="BF60" s="148"/>
      <c r="BG60" s="150">
        <f>BG59</f>
        <v>0</v>
      </c>
      <c r="BH60" s="149"/>
      <c r="BI60" s="147"/>
      <c r="BJ60" s="148"/>
      <c r="BK60" s="150">
        <f>BK59</f>
        <v>0</v>
      </c>
      <c r="BL60" s="149"/>
      <c r="BM60" s="147"/>
      <c r="BN60" s="148"/>
      <c r="BO60" s="150">
        <f>BO59</f>
        <v>0</v>
      </c>
      <c r="BP60" s="149"/>
      <c r="BQ60" s="147"/>
      <c r="BR60" s="148"/>
      <c r="BS60" s="150">
        <f>BS59</f>
        <v>0</v>
      </c>
      <c r="BT60" s="149"/>
      <c r="BU60" s="147"/>
      <c r="BV60" s="148"/>
      <c r="BW60" s="150">
        <f>BW59</f>
        <v>0</v>
      </c>
      <c r="BX60" s="149"/>
      <c r="BY60" s="147"/>
      <c r="BZ60" s="148"/>
      <c r="CA60" s="150">
        <f>CA59</f>
        <v>0</v>
      </c>
      <c r="CB60" s="149"/>
      <c r="CC60" s="147"/>
      <c r="CD60" s="148"/>
      <c r="CE60" s="150">
        <f>CE59</f>
        <v>0</v>
      </c>
      <c r="CF60" s="149"/>
      <c r="CG60" s="147"/>
      <c r="CH60" s="148"/>
      <c r="CI60" s="150">
        <f>CI59</f>
        <v>0</v>
      </c>
      <c r="CJ60" s="149"/>
      <c r="CK60" s="151"/>
      <c r="CL60" s="138"/>
      <c r="CM60" s="138"/>
      <c r="CN60" s="139"/>
    </row>
    <row r="61" spans="11:155" ht="16.5" customHeight="1" x14ac:dyDescent="0.25">
      <c r="X61" s="93"/>
      <c r="Y61" s="152">
        <f>IF(AA57&gt;=1,AA55/AA56,0)</f>
        <v>0</v>
      </c>
      <c r="Z61" s="148"/>
      <c r="AA61" s="148"/>
      <c r="AB61" s="149"/>
      <c r="AC61" s="152">
        <f>IF(AE57&gt;=1,AE55/AE56,0)</f>
        <v>0</v>
      </c>
      <c r="AD61" s="148"/>
      <c r="AE61" s="148"/>
      <c r="AF61" s="149"/>
      <c r="AG61" s="152">
        <f>IF(AI57&gt;=1,AI55/AI56,0)</f>
        <v>0</v>
      </c>
      <c r="AH61" s="148"/>
      <c r="AI61" s="148"/>
      <c r="AJ61" s="149"/>
      <c r="AK61" s="152">
        <f>IF(AM57&gt;=1,AM55/AM56,0)</f>
        <v>0</v>
      </c>
      <c r="AL61" s="148"/>
      <c r="AM61" s="148"/>
      <c r="AN61" s="149"/>
      <c r="AO61" s="152">
        <f>IF(AQ57&gt;=1,AQ55/AQ56,0)</f>
        <v>0</v>
      </c>
      <c r="AP61" s="148"/>
      <c r="AQ61" s="148"/>
      <c r="AR61" s="149"/>
      <c r="AS61" s="152">
        <f>IF(AU57&gt;=1,AU55/AU56,0)</f>
        <v>0</v>
      </c>
      <c r="AT61" s="148"/>
      <c r="AU61" s="148"/>
      <c r="AV61" s="149"/>
      <c r="AW61" s="152">
        <f>IF(AY57&gt;=1,AY55/AY56,0)</f>
        <v>0</v>
      </c>
      <c r="AX61" s="148"/>
      <c r="AY61" s="148"/>
      <c r="AZ61" s="149"/>
      <c r="BA61" s="152">
        <f>IF(BC57&gt;=1,BC55/BC56,0)</f>
        <v>0</v>
      </c>
      <c r="BB61" s="148"/>
      <c r="BC61" s="148"/>
      <c r="BD61" s="149"/>
      <c r="BE61" s="152">
        <f>IF(BG57&gt;=1,BG55/BG56,0)</f>
        <v>0</v>
      </c>
      <c r="BF61" s="148"/>
      <c r="BG61" s="148"/>
      <c r="BH61" s="149"/>
      <c r="BI61" s="152">
        <f>IF(BK57&gt;=1,BK55/BK56,0)</f>
        <v>0</v>
      </c>
      <c r="BJ61" s="148"/>
      <c r="BK61" s="148"/>
      <c r="BL61" s="149"/>
      <c r="BM61" s="152">
        <f>IF(BO57&gt;=1,BO55/BO56,0)</f>
        <v>0</v>
      </c>
      <c r="BN61" s="148"/>
      <c r="BO61" s="148"/>
      <c r="BP61" s="149"/>
      <c r="BQ61" s="152">
        <f>IF(BS57&gt;=1,BS55/BS56,0)</f>
        <v>0</v>
      </c>
      <c r="BR61" s="148"/>
      <c r="BS61" s="148"/>
      <c r="BT61" s="149"/>
      <c r="BU61" s="152">
        <f>IF(BW57&gt;=1,BW55/BW56,0)</f>
        <v>0</v>
      </c>
      <c r="BV61" s="148"/>
      <c r="BW61" s="148"/>
      <c r="BX61" s="149"/>
      <c r="BY61" s="152">
        <f>IF(CA57&gt;=1,CA55/CA56,0)</f>
        <v>0</v>
      </c>
      <c r="BZ61" s="148"/>
      <c r="CA61" s="148"/>
      <c r="CB61" s="149"/>
      <c r="CC61" s="152">
        <f>IF(CE57&gt;=1,CE55/CE56,0)</f>
        <v>0</v>
      </c>
      <c r="CD61" s="148"/>
      <c r="CE61" s="148"/>
      <c r="CF61" s="149"/>
      <c r="CG61" s="152">
        <f>IF(CI57&gt;=1,CI55/CI56,0)</f>
        <v>0</v>
      </c>
      <c r="CH61" s="148"/>
      <c r="CI61" s="148"/>
      <c r="CJ61" s="149"/>
      <c r="CK61" s="137"/>
      <c r="CL61" s="138"/>
      <c r="CM61" s="138"/>
      <c r="CN61" s="139"/>
    </row>
    <row r="62" spans="11:155" ht="16.5" customHeight="1" x14ac:dyDescent="0.25">
      <c r="X62" s="93" t="s">
        <v>160</v>
      </c>
      <c r="Y62" s="147"/>
      <c r="Z62" s="148"/>
      <c r="AA62" s="148"/>
      <c r="AB62" s="149"/>
      <c r="AC62" s="147"/>
      <c r="AD62" s="148"/>
      <c r="AE62" s="148"/>
      <c r="AF62" s="149"/>
      <c r="AG62" s="147"/>
      <c r="AH62" s="148"/>
      <c r="AI62" s="148"/>
      <c r="AJ62" s="149"/>
      <c r="AK62" s="147"/>
      <c r="AL62" s="148"/>
      <c r="AM62" s="148"/>
      <c r="AN62" s="149"/>
      <c r="AO62" s="147"/>
      <c r="AP62" s="148"/>
      <c r="AQ62" s="148"/>
      <c r="AR62" s="149"/>
      <c r="AS62" s="147"/>
      <c r="AT62" s="148"/>
      <c r="AU62" s="148"/>
      <c r="AV62" s="149"/>
      <c r="AW62" s="147"/>
      <c r="AX62" s="148"/>
      <c r="AY62" s="148"/>
      <c r="AZ62" s="149"/>
      <c r="BA62" s="147"/>
      <c r="BB62" s="148"/>
      <c r="BC62" s="148"/>
      <c r="BD62" s="149"/>
      <c r="BE62" s="147"/>
      <c r="BF62" s="148"/>
      <c r="BG62" s="148"/>
      <c r="BH62" s="149"/>
      <c r="BI62" s="147"/>
      <c r="BJ62" s="148"/>
      <c r="BK62" s="148"/>
      <c r="BL62" s="149"/>
      <c r="BM62" s="147"/>
      <c r="BN62" s="148"/>
      <c r="BO62" s="148"/>
      <c r="BP62" s="149"/>
      <c r="BQ62" s="147"/>
      <c r="BR62" s="148"/>
      <c r="BS62" s="148"/>
      <c r="BT62" s="149"/>
      <c r="BU62" s="147"/>
      <c r="BV62" s="148"/>
      <c r="BW62" s="148"/>
      <c r="BX62" s="149"/>
      <c r="BY62" s="147"/>
      <c r="BZ62" s="148"/>
      <c r="CA62" s="148"/>
      <c r="CB62" s="149"/>
      <c r="CC62" s="147"/>
      <c r="CD62" s="148"/>
      <c r="CE62" s="148"/>
      <c r="CF62" s="149"/>
      <c r="CG62" s="147"/>
      <c r="CH62" s="148"/>
      <c r="CI62" s="148"/>
      <c r="CJ62" s="149"/>
      <c r="CK62" s="137"/>
      <c r="CL62" s="138"/>
      <c r="CM62" s="138"/>
      <c r="CN62" s="139"/>
    </row>
    <row r="63" spans="11:155" ht="16.5" customHeight="1" x14ac:dyDescent="0.25">
      <c r="X63" s="93"/>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6"/>
      <c r="AY63" s="196"/>
      <c r="AZ63" s="196"/>
      <c r="BA63" s="196"/>
      <c r="BB63" s="196"/>
      <c r="BC63" s="196"/>
      <c r="BD63" s="196"/>
      <c r="BE63" s="196"/>
      <c r="BF63" s="196"/>
      <c r="BG63" s="196"/>
      <c r="BH63" s="196"/>
      <c r="BI63" s="196"/>
      <c r="BJ63" s="196"/>
      <c r="BK63" s="196"/>
      <c r="BL63" s="196"/>
      <c r="BM63" s="196"/>
      <c r="BN63" s="196"/>
      <c r="BO63" s="196"/>
      <c r="BP63" s="196"/>
      <c r="BQ63" s="196"/>
      <c r="BR63" s="196"/>
      <c r="BS63" s="196"/>
      <c r="BT63" s="196"/>
      <c r="BU63" s="196"/>
      <c r="BV63" s="196"/>
      <c r="BW63" s="196"/>
      <c r="BX63" s="196"/>
      <c r="BY63" s="196"/>
      <c r="BZ63" s="196"/>
      <c r="CA63" s="196"/>
      <c r="CB63" s="196"/>
      <c r="CC63" s="196"/>
      <c r="CD63" s="196"/>
      <c r="CE63" s="196"/>
      <c r="CF63" s="196"/>
      <c r="CG63" s="196"/>
      <c r="CH63" s="196"/>
      <c r="CI63" s="196"/>
      <c r="CJ63" s="196"/>
      <c r="CK63" s="137"/>
      <c r="CL63" s="138"/>
      <c r="CM63" s="138"/>
      <c r="CN63" s="139"/>
    </row>
    <row r="64" spans="11:155" ht="15.75" customHeight="1" x14ac:dyDescent="0.25">
      <c r="Y64" s="196" t="s">
        <v>161</v>
      </c>
      <c r="Z64" s="197" t="e">
        <f>IF(AND(Y58=2,AA57&gt;1),20,10)</f>
        <v>#N/A</v>
      </c>
      <c r="AA64" s="153">
        <f>IF(ISERROR(Z64),0,Z64)</f>
        <v>0</v>
      </c>
      <c r="AB64" s="196"/>
      <c r="AC64" s="196" t="s">
        <v>161</v>
      </c>
      <c r="AD64" s="197" t="e">
        <f>IF(AND(AC58=2,AE57&gt;1),20,10)</f>
        <v>#N/A</v>
      </c>
      <c r="AE64" s="153">
        <f>IF(ISERROR(AD64),0,AD64)</f>
        <v>0</v>
      </c>
      <c r="AF64" s="196"/>
      <c r="AG64" s="196" t="s">
        <v>161</v>
      </c>
      <c r="AH64" s="197" t="e">
        <f>IF(AND(AG58=2,AI57&gt;1),20,10)</f>
        <v>#N/A</v>
      </c>
      <c r="AI64" s="153">
        <f>IF(ISERROR(AH64),0,AH64)</f>
        <v>0</v>
      </c>
      <c r="AJ64" s="196"/>
      <c r="AK64" s="196" t="s">
        <v>161</v>
      </c>
      <c r="AL64" s="197" t="e">
        <f>IF(AND(AK58=2,AM57&gt;1),20,10)</f>
        <v>#N/A</v>
      </c>
      <c r="AM64" s="153">
        <f>IF(ISERROR(AL64),0,AL64)</f>
        <v>0</v>
      </c>
      <c r="AN64" s="196"/>
      <c r="AO64" s="196" t="s">
        <v>161</v>
      </c>
      <c r="AP64" s="197" t="e">
        <f>IF(AND(AO58=2,AQ57&gt;1),20,10)</f>
        <v>#N/A</v>
      </c>
      <c r="AQ64" s="153">
        <f>IF(ISERROR(AP64),0,AP64)</f>
        <v>0</v>
      </c>
      <c r="AR64" s="196"/>
      <c r="AS64" s="196" t="s">
        <v>161</v>
      </c>
      <c r="AT64" s="197" t="e">
        <f>IF(AND(AS58=2,AU57&gt;1),20,10)</f>
        <v>#N/A</v>
      </c>
      <c r="AU64" s="153">
        <f>IF(ISERROR(AT64),0,AT64)</f>
        <v>0</v>
      </c>
      <c r="AV64" s="196"/>
      <c r="AW64" s="196" t="s">
        <v>161</v>
      </c>
      <c r="AX64" s="197" t="e">
        <f>IF(AND(AW58=2,AY57&gt;1),20,10)</f>
        <v>#N/A</v>
      </c>
      <c r="AY64" s="153">
        <f>IF(ISERROR(AX64),0,AX64)</f>
        <v>0</v>
      </c>
      <c r="AZ64" s="196"/>
      <c r="BA64" s="196" t="s">
        <v>161</v>
      </c>
      <c r="BB64" s="197" t="e">
        <f>IF(AND(BA58=2,BC57&gt;1),20,10)</f>
        <v>#N/A</v>
      </c>
      <c r="BC64" s="153">
        <f>IF(ISERROR(BB64),0,BB64)</f>
        <v>0</v>
      </c>
      <c r="BD64" s="196"/>
      <c r="BE64" s="196" t="s">
        <v>161</v>
      </c>
      <c r="BF64" s="197" t="e">
        <f>IF(AND(BE58=2,BG57&gt;1),20,10)</f>
        <v>#N/A</v>
      </c>
      <c r="BG64" s="153">
        <f>IF(ISERROR(BF64),0,BF64)</f>
        <v>0</v>
      </c>
      <c r="BH64" s="196"/>
      <c r="BI64" s="196" t="s">
        <v>161</v>
      </c>
      <c r="BJ64" s="197" t="e">
        <f>IF(AND(BI58=2,BK57&gt;1),20,10)</f>
        <v>#N/A</v>
      </c>
      <c r="BK64" s="153">
        <f>IF(ISERROR(BJ64),0,BJ64)</f>
        <v>0</v>
      </c>
      <c r="BL64" s="196"/>
      <c r="BM64" s="196" t="s">
        <v>161</v>
      </c>
      <c r="BN64" s="197" t="e">
        <f>IF(AND(BM58=2,BO57&gt;1),20,10)</f>
        <v>#N/A</v>
      </c>
      <c r="BO64" s="153">
        <f>IF(ISERROR(BN64),0,BN64)</f>
        <v>0</v>
      </c>
      <c r="BP64" s="196"/>
      <c r="BQ64" s="196" t="s">
        <v>161</v>
      </c>
      <c r="BR64" s="197" t="e">
        <f>IF(AND(BQ58=2,BS57&gt;1),20,10)</f>
        <v>#N/A</v>
      </c>
      <c r="BS64" s="153">
        <f>IF(ISERROR(BR64),0,BR64)</f>
        <v>0</v>
      </c>
      <c r="BT64" s="196"/>
      <c r="BU64" s="196" t="s">
        <v>161</v>
      </c>
      <c r="BV64" s="197" t="e">
        <f>IF(AND(BU58=2,BW57&gt;1),20,10)</f>
        <v>#N/A</v>
      </c>
      <c r="BW64" s="153">
        <f>IF(ISERROR(BV64),0,BV64)</f>
        <v>0</v>
      </c>
      <c r="BX64" s="196"/>
      <c r="BY64" s="196" t="s">
        <v>161</v>
      </c>
      <c r="BZ64" s="197" t="e">
        <f>IF(AND(BY58=2,CA57&gt;1),20,10)</f>
        <v>#N/A</v>
      </c>
      <c r="CA64" s="153">
        <f>IF(ISERROR(BZ64),0,BZ64)</f>
        <v>0</v>
      </c>
      <c r="CB64" s="196"/>
      <c r="CC64" s="196" t="s">
        <v>161</v>
      </c>
      <c r="CD64" s="197" t="e">
        <f>IF(AND(CC58=2,CE57&gt;1),20,10)</f>
        <v>#N/A</v>
      </c>
      <c r="CE64" s="153">
        <f>IF(ISERROR(CD64),0,CD64)</f>
        <v>0</v>
      </c>
      <c r="CF64" s="196"/>
      <c r="CG64" s="196" t="s">
        <v>161</v>
      </c>
      <c r="CH64" s="197" t="e">
        <f>IF(AND(CG58=2,CI57&gt;1),20,10)</f>
        <v>#N/A</v>
      </c>
      <c r="CI64" s="153">
        <f>IF(ISERROR(CH64),0,CH64)</f>
        <v>0</v>
      </c>
      <c r="CJ64" s="196"/>
      <c r="CK64" s="92"/>
      <c r="CL64" s="93"/>
      <c r="CM64" s="93"/>
      <c r="CN64" s="91"/>
    </row>
    <row r="65" spans="13:92" ht="17.25" customHeight="1" x14ac:dyDescent="0.25">
      <c r="M65" s="188"/>
      <c r="N65" s="118"/>
      <c r="O65" s="120"/>
      <c r="P65" s="118"/>
      <c r="Q65" s="120"/>
      <c r="R65" s="121"/>
      <c r="S65" s="122"/>
      <c r="T65" s="144"/>
      <c r="U65" s="145"/>
      <c r="V65" s="146"/>
      <c r="Y65" s="198" t="s">
        <v>162</v>
      </c>
      <c r="Z65" s="198" t="e">
        <f>IF(AND(Z64=0,AA57&gt;1,Y58=0),Tirage!$D$55,0)</f>
        <v>#N/A</v>
      </c>
      <c r="AA65" s="154">
        <f>IF(ISERROR(Z65),0,Z65)</f>
        <v>0</v>
      </c>
      <c r="AB65" s="198"/>
      <c r="AC65" s="137"/>
      <c r="AD65" s="198" t="e">
        <f>IF(AND(AD64=0,AE57&gt;1,AC58=0),Tirage!$D$55,0)</f>
        <v>#N/A</v>
      </c>
      <c r="AE65" s="138">
        <f>IF(ISERROR(AD65),0,AD65)</f>
        <v>0</v>
      </c>
      <c r="AF65" s="139"/>
      <c r="AG65" s="137"/>
      <c r="AH65" s="198" t="e">
        <f>IF(AND(AH64=0,AI57&gt;1,AG58=0),Tirage!$D$55,0)</f>
        <v>#N/A</v>
      </c>
      <c r="AI65" s="138">
        <f>IF(ISERROR(AH65),0,AH65)</f>
        <v>0</v>
      </c>
      <c r="AJ65" s="139"/>
      <c r="AK65" s="137"/>
      <c r="AL65" s="198" t="e">
        <f>IF(AND(AL64=0,AM57&gt;1,AK58=0),Tirage!$D$55,0)</f>
        <v>#N/A</v>
      </c>
      <c r="AM65" s="138">
        <f>IF(ISERROR(AL65),0,AL65)</f>
        <v>0</v>
      </c>
      <c r="AN65" s="139"/>
      <c r="AO65" s="137"/>
      <c r="AP65" s="198" t="e">
        <f>IF(AND(AP64=0,AQ57&gt;1,AO58=0),Tirage!$D$55,0)</f>
        <v>#N/A</v>
      </c>
      <c r="AQ65" s="138">
        <f>IF(ISERROR(AP65),0,AP65)</f>
        <v>0</v>
      </c>
      <c r="AR65" s="139"/>
      <c r="AS65" s="137"/>
      <c r="AT65" s="198" t="e">
        <f>IF(AND(AT64=0,AU57&gt;1,AS58=0),Tirage!$D$55,0)</f>
        <v>#N/A</v>
      </c>
      <c r="AU65" s="138">
        <f>IF(ISERROR(AT65),0,AT65)</f>
        <v>0</v>
      </c>
      <c r="AV65" s="139"/>
      <c r="AW65" s="137"/>
      <c r="AX65" s="198" t="e">
        <f>IF(AND(AX64=0,AY57&gt;1,AW58=0),Tirage!$D$55,0)</f>
        <v>#N/A</v>
      </c>
      <c r="AY65" s="138">
        <f>IF(ISERROR(AX65),0,AX65)</f>
        <v>0</v>
      </c>
      <c r="AZ65" s="139"/>
      <c r="BA65" s="137"/>
      <c r="BB65" s="198" t="e">
        <f>IF(AND(BB64=0,BC57&gt;1,BA58=0),Tirage!$D$55,0)</f>
        <v>#N/A</v>
      </c>
      <c r="BC65" s="138">
        <f>IF(ISERROR(BB65),0,BB65)</f>
        <v>0</v>
      </c>
      <c r="BD65" s="139"/>
      <c r="BE65" s="137"/>
      <c r="BF65" s="198" t="e">
        <f>IF(AND(BF64=0,BG57&gt;1,BE58=0),Tirage!$D$55,0)</f>
        <v>#N/A</v>
      </c>
      <c r="BG65" s="138">
        <f>IF(ISERROR(BF65),0,BF65)</f>
        <v>0</v>
      </c>
      <c r="BH65" s="139"/>
      <c r="BI65" s="137"/>
      <c r="BJ65" s="198" t="e">
        <f>IF(AND(BJ64=0,BK57&gt;1,BI58=0),Tirage!$D$55,0)</f>
        <v>#N/A</v>
      </c>
      <c r="BK65" s="138">
        <f>IF(ISERROR(BJ65),0,BJ65)</f>
        <v>0</v>
      </c>
      <c r="BL65" s="139"/>
      <c r="BM65" s="137"/>
      <c r="BN65" s="198" t="e">
        <f>IF(AND(BN64=0,BO57&gt;1,BM58=0),Tirage!$D$55,0)</f>
        <v>#N/A</v>
      </c>
      <c r="BO65" s="138">
        <f>IF(ISERROR(BN65),0,BN65)</f>
        <v>0</v>
      </c>
      <c r="BP65" s="139"/>
      <c r="BQ65" s="137"/>
      <c r="BR65" s="198" t="e">
        <f>IF(AND(BR64=0,BS57&gt;1,BQ58=0),Tirage!$D$55,0)</f>
        <v>#N/A</v>
      </c>
      <c r="BS65" s="138">
        <f>IF(ISERROR(BR65),0,BR65)</f>
        <v>0</v>
      </c>
      <c r="BT65" s="139"/>
      <c r="BU65" s="137"/>
      <c r="BV65" s="198" t="e">
        <f>IF(AND(BV64=0,BW57&gt;1,BU58=0),Tirage!$D$55,0)</f>
        <v>#N/A</v>
      </c>
      <c r="BW65" s="138">
        <f>IF(ISERROR(BV65),0,BV65)</f>
        <v>0</v>
      </c>
      <c r="BX65" s="139"/>
      <c r="BY65" s="137"/>
      <c r="BZ65" s="198" t="e">
        <f>IF(AND(BZ64=0,CA57&gt;1,BY58=0),Tirage!$D$55,0)</f>
        <v>#N/A</v>
      </c>
      <c r="CA65" s="138">
        <f>IF(ISERROR(BZ65),0,BZ65)</f>
        <v>0</v>
      </c>
      <c r="CB65" s="139"/>
      <c r="CC65" s="137"/>
      <c r="CD65" s="198" t="e">
        <f>IF(AND(CD64=0,CE57&gt;1,CC58=0),Tirage!$D$55,0)</f>
        <v>#N/A</v>
      </c>
      <c r="CE65" s="138">
        <f>IF(ISERROR(CD65),0,CD65)</f>
        <v>0</v>
      </c>
      <c r="CF65" s="139"/>
      <c r="CG65" s="137"/>
      <c r="CH65" s="198" t="e">
        <f>IF(AND(CH64=0,CI57&gt;1,CG58=0),Tirage!$D$55,0)</f>
        <v>#N/A</v>
      </c>
      <c r="CI65" s="138">
        <f>IF(ISERROR(CH65),0,CH65)</f>
        <v>0</v>
      </c>
      <c r="CJ65" s="139"/>
      <c r="CK65" s="92"/>
      <c r="CL65" s="93"/>
      <c r="CM65" s="93"/>
      <c r="CN65" s="91"/>
    </row>
    <row r="66" spans="13:92" ht="15.75" customHeight="1" x14ac:dyDescent="0.25">
      <c r="AC66" s="92"/>
      <c r="AD66" s="93"/>
      <c r="AE66" s="93"/>
      <c r="AF66" s="91"/>
      <c r="AG66" s="92"/>
      <c r="AH66" s="93"/>
      <c r="AI66" s="93"/>
      <c r="AJ66" s="91"/>
      <c r="AK66" s="92"/>
      <c r="AL66" s="93"/>
      <c r="AM66" s="93"/>
      <c r="AN66" s="91"/>
      <c r="AO66" s="92"/>
      <c r="AP66" s="93"/>
      <c r="AQ66" s="93"/>
      <c r="AR66" s="91"/>
      <c r="AS66" s="92"/>
      <c r="AT66" s="93"/>
      <c r="AU66" s="93"/>
      <c r="AV66" s="91"/>
      <c r="AW66" s="92"/>
      <c r="AX66" s="93"/>
      <c r="AY66" s="93"/>
      <c r="AZ66" s="91"/>
      <c r="BA66" s="92"/>
      <c r="BB66" s="93"/>
      <c r="BC66" s="93"/>
      <c r="BD66" s="91"/>
      <c r="BE66" s="92"/>
      <c r="BF66" s="93"/>
      <c r="BG66" s="93"/>
      <c r="BH66" s="91"/>
      <c r="BI66" s="92"/>
      <c r="BJ66" s="93"/>
      <c r="BK66" s="93"/>
      <c r="BL66" s="91"/>
      <c r="BM66" s="92"/>
      <c r="BN66" s="93"/>
      <c r="BO66" s="93"/>
      <c r="BP66" s="91"/>
      <c r="BQ66" s="92"/>
      <c r="BR66" s="93"/>
      <c r="BS66" s="93"/>
      <c r="BT66" s="91"/>
      <c r="BU66" s="92"/>
      <c r="BV66" s="93"/>
      <c r="BW66" s="93"/>
      <c r="BX66" s="91"/>
      <c r="BY66" s="92"/>
      <c r="BZ66" s="93"/>
      <c r="CA66" s="93"/>
      <c r="CB66" s="91"/>
      <c r="CC66" s="92"/>
      <c r="CD66" s="93"/>
      <c r="CE66" s="93"/>
      <c r="CF66" s="91"/>
      <c r="CG66" s="92"/>
      <c r="CH66" s="93"/>
      <c r="CI66" s="93"/>
      <c r="CJ66" s="91"/>
      <c r="CK66" s="92"/>
      <c r="CL66" s="93"/>
      <c r="CM66" s="93"/>
      <c r="CN66" s="91"/>
    </row>
    <row r="67" spans="13:92" ht="16.5" customHeight="1" x14ac:dyDescent="0.25">
      <c r="AC67" s="92"/>
      <c r="AD67" s="93"/>
      <c r="AE67" s="93"/>
      <c r="AF67" s="91"/>
      <c r="AG67" s="92"/>
      <c r="AH67" s="93"/>
      <c r="AI67" s="93"/>
      <c r="AJ67" s="91"/>
      <c r="AK67" s="92"/>
      <c r="AL67" s="93"/>
      <c r="AM67" s="93"/>
      <c r="AN67" s="91"/>
      <c r="AO67" s="92"/>
      <c r="AP67" s="93"/>
      <c r="AQ67" s="93"/>
      <c r="AR67" s="91"/>
      <c r="AS67" s="92"/>
      <c r="AT67" s="93"/>
      <c r="AU67" s="93"/>
      <c r="AV67" s="91"/>
      <c r="AW67" s="92"/>
      <c r="AX67" s="93"/>
      <c r="AY67" s="93"/>
      <c r="AZ67" s="91"/>
      <c r="BA67" s="92"/>
      <c r="BB67" s="93"/>
      <c r="BC67" s="93"/>
      <c r="BD67" s="91"/>
      <c r="BE67" s="92"/>
      <c r="BF67" s="93"/>
      <c r="BG67" s="93"/>
      <c r="BH67" s="91"/>
      <c r="BI67" s="92"/>
      <c r="BJ67" s="93"/>
      <c r="BK67" s="93"/>
      <c r="BL67" s="91"/>
      <c r="BM67" s="92"/>
      <c r="BN67" s="93"/>
      <c r="BO67" s="93"/>
      <c r="BP67" s="91"/>
      <c r="BQ67" s="92"/>
      <c r="BR67" s="93"/>
      <c r="BS67" s="93"/>
      <c r="BT67" s="91"/>
      <c r="BU67" s="92"/>
      <c r="BV67" s="93"/>
      <c r="BW67" s="93"/>
      <c r="BX67" s="91"/>
      <c r="BY67" s="92"/>
      <c r="BZ67" s="93"/>
      <c r="CA67" s="93"/>
      <c r="CB67" s="91"/>
      <c r="CC67" s="92"/>
      <c r="CD67" s="93"/>
      <c r="CE67" s="93"/>
      <c r="CF67" s="91"/>
      <c r="CG67" s="92"/>
      <c r="CH67" s="93"/>
      <c r="CI67" s="93"/>
      <c r="CJ67" s="91"/>
      <c r="CK67" s="92"/>
      <c r="CL67" s="93"/>
      <c r="CM67" s="93"/>
      <c r="CN67" s="91"/>
    </row>
    <row r="68" spans="13:92" ht="15.75" customHeight="1" x14ac:dyDescent="0.25">
      <c r="AC68" s="92"/>
      <c r="AD68" s="93"/>
      <c r="AE68" s="93"/>
      <c r="AF68" s="91"/>
      <c r="AG68" s="92"/>
      <c r="AH68" s="93"/>
      <c r="AI68" s="93"/>
      <c r="AJ68" s="91"/>
      <c r="AK68" s="92"/>
      <c r="AL68" s="93"/>
      <c r="AM68" s="93"/>
      <c r="AN68" s="91"/>
      <c r="AO68" s="92"/>
      <c r="AP68" s="93"/>
      <c r="AQ68" s="93"/>
      <c r="AR68" s="91"/>
      <c r="AS68" s="92"/>
      <c r="AT68" s="93"/>
      <c r="AU68" s="93"/>
      <c r="AV68" s="91"/>
      <c r="AW68" s="92"/>
      <c r="AX68" s="93"/>
      <c r="AY68" s="93"/>
      <c r="AZ68" s="91"/>
      <c r="BA68" s="92"/>
      <c r="BB68" s="93"/>
      <c r="BC68" s="93"/>
      <c r="BD68" s="91"/>
      <c r="BE68" s="92"/>
      <c r="BF68" s="93"/>
      <c r="BG68" s="93"/>
      <c r="BH68" s="91"/>
      <c r="BI68" s="92"/>
      <c r="BJ68" s="93"/>
      <c r="BK68" s="93"/>
      <c r="BL68" s="91"/>
      <c r="BM68" s="92"/>
      <c r="BN68" s="93"/>
      <c r="BO68" s="93"/>
      <c r="BP68" s="91"/>
      <c r="BQ68" s="92"/>
      <c r="BR68" s="93"/>
      <c r="BS68" s="93"/>
      <c r="BT68" s="91"/>
      <c r="BU68" s="92"/>
      <c r="BV68" s="93"/>
      <c r="BW68" s="93"/>
      <c r="BX68" s="91"/>
      <c r="BY68" s="92"/>
      <c r="BZ68" s="93"/>
      <c r="CA68" s="93"/>
      <c r="CB68" s="91"/>
      <c r="CC68" s="92"/>
      <c r="CD68" s="93"/>
      <c r="CE68" s="93"/>
      <c r="CF68" s="91"/>
      <c r="CG68" s="92"/>
      <c r="CH68" s="93"/>
      <c r="CI68" s="93"/>
      <c r="CJ68" s="91"/>
      <c r="CK68" s="147" t="e">
        <f>VLOOKUP(CL$2,$M$14:$U$18,3,FALSE)</f>
        <v>#N/A</v>
      </c>
      <c r="CL68" s="148"/>
      <c r="CM68" s="148">
        <f>IF(ISERROR(CK68),0,CK68)</f>
        <v>0</v>
      </c>
      <c r="CN68" s="149">
        <f>CN69*CM68</f>
        <v>0</v>
      </c>
    </row>
    <row r="69" spans="13:92" ht="16.5" customHeight="1" x14ac:dyDescent="0.25">
      <c r="AC69" s="92"/>
      <c r="AD69" s="93"/>
      <c r="AE69" s="93"/>
      <c r="AF69" s="91"/>
      <c r="AG69" s="92"/>
      <c r="AH69" s="93"/>
      <c r="AI69" s="93"/>
      <c r="AJ69" s="91"/>
      <c r="AK69" s="92"/>
      <c r="AL69" s="93"/>
      <c r="AM69" s="93"/>
      <c r="AN69" s="91"/>
      <c r="AO69" s="92"/>
      <c r="AP69" s="93"/>
      <c r="AQ69" s="93"/>
      <c r="AR69" s="91"/>
      <c r="AS69" s="92"/>
      <c r="AT69" s="93"/>
      <c r="AU69" s="93"/>
      <c r="AV69" s="91"/>
      <c r="AW69" s="92"/>
      <c r="AX69" s="93"/>
      <c r="AY69" s="93"/>
      <c r="AZ69" s="91"/>
      <c r="BA69" s="92"/>
      <c r="BB69" s="93"/>
      <c r="BC69" s="93"/>
      <c r="BD69" s="91"/>
      <c r="BE69" s="92"/>
      <c r="BF69" s="93"/>
      <c r="BG69" s="93"/>
      <c r="BH69" s="91"/>
      <c r="BI69" s="92"/>
      <c r="BJ69" s="93"/>
      <c r="BK69" s="93"/>
      <c r="BL69" s="91"/>
      <c r="BM69" s="92"/>
      <c r="BN69" s="93"/>
      <c r="BO69" s="93"/>
      <c r="BP69" s="91"/>
      <c r="BQ69" s="92"/>
      <c r="BR69" s="93"/>
      <c r="BS69" s="93"/>
      <c r="BT69" s="91"/>
      <c r="BU69" s="92"/>
      <c r="BV69" s="93"/>
      <c r="BW69" s="93"/>
      <c r="BX69" s="91"/>
      <c r="BY69" s="92"/>
      <c r="BZ69" s="93"/>
      <c r="CA69" s="93"/>
      <c r="CB69" s="91"/>
      <c r="CC69" s="92"/>
      <c r="CD69" s="93"/>
      <c r="CE69" s="93"/>
      <c r="CF69" s="91"/>
      <c r="CG69" s="92"/>
      <c r="CH69" s="93"/>
      <c r="CI69" s="93"/>
      <c r="CJ69" s="91"/>
      <c r="CK69" s="147" t="e">
        <f>VLOOKUP(CL$2,$M$14:$U$18,7,FALSE)</f>
        <v>#N/A</v>
      </c>
      <c r="CL69" s="148"/>
      <c r="CM69" s="148">
        <f>IF(ISERROR(CK69),0,CK69)</f>
        <v>0</v>
      </c>
      <c r="CN69" s="149">
        <f>IF(CM69="*",Lieu,1)</f>
        <v>1</v>
      </c>
    </row>
    <row r="70" spans="13:92" ht="16.5" customHeight="1" x14ac:dyDescent="0.25">
      <c r="X70" s="93" t="s">
        <v>163</v>
      </c>
      <c r="Y70" s="147" t="e">
        <f>VLOOKUP(Z$2,$M$36:$V$37,3,FALSE)</f>
        <v>#N/A</v>
      </c>
      <c r="Z70" s="148"/>
      <c r="AA70" s="148">
        <f>IF(ISERROR(Y70),0,Y70)</f>
        <v>0</v>
      </c>
      <c r="AB70" s="149">
        <f>AB71*AA70</f>
        <v>0</v>
      </c>
      <c r="AC70" s="147" t="e">
        <f>VLOOKUP(AD$2,$M$36:$V$37,3,FALSE)</f>
        <v>#N/A</v>
      </c>
      <c r="AD70" s="148"/>
      <c r="AE70" s="148">
        <f>IF(ISERROR(AC70),0,AC70)</f>
        <v>0</v>
      </c>
      <c r="AF70" s="149">
        <f>AF71*AE70</f>
        <v>0</v>
      </c>
      <c r="AG70" s="147" t="e">
        <f>VLOOKUP(AH$2,$M$36:$V$37,3,FALSE)</f>
        <v>#N/A</v>
      </c>
      <c r="AH70" s="148"/>
      <c r="AI70" s="148">
        <f>IF(ISERROR(AG70),0,AG70)</f>
        <v>0</v>
      </c>
      <c r="AJ70" s="149">
        <f>AJ71*AI70</f>
        <v>0</v>
      </c>
      <c r="AK70" s="147" t="e">
        <f>VLOOKUP(AL$2,$M$36:$V$37,3,FALSE)</f>
        <v>#N/A</v>
      </c>
      <c r="AL70" s="148"/>
      <c r="AM70" s="148">
        <f>IF(ISERROR(AK70),0,AK70)</f>
        <v>0</v>
      </c>
      <c r="AN70" s="149">
        <f>AN71*AM70</f>
        <v>0</v>
      </c>
      <c r="AO70" s="147" t="e">
        <f>VLOOKUP(AP$2,$M$36:$V$37,3,FALSE)</f>
        <v>#N/A</v>
      </c>
      <c r="AP70" s="148"/>
      <c r="AQ70" s="148">
        <f>IF(ISERROR(AO70),0,AO70)</f>
        <v>0</v>
      </c>
      <c r="AR70" s="149">
        <f>AR71*AQ70</f>
        <v>0</v>
      </c>
      <c r="AS70" s="147" t="e">
        <f>VLOOKUP(AT$2,$M$36:$V$37,3,FALSE)</f>
        <v>#N/A</v>
      </c>
      <c r="AT70" s="148"/>
      <c r="AU70" s="148">
        <f>IF(ISERROR(AS70),0,AS70)</f>
        <v>0</v>
      </c>
      <c r="AV70" s="149">
        <f>AV71*AU70</f>
        <v>0</v>
      </c>
      <c r="AW70" s="147" t="e">
        <f>VLOOKUP(AX$2,$M$36:$V$37,3,FALSE)</f>
        <v>#N/A</v>
      </c>
      <c r="AX70" s="148"/>
      <c r="AY70" s="148">
        <f>IF(ISERROR(AW70),0,AW70)</f>
        <v>0</v>
      </c>
      <c r="AZ70" s="149">
        <f>AZ71*AY70</f>
        <v>0</v>
      </c>
      <c r="BA70" s="147" t="e">
        <f>VLOOKUP(BB$2,$M$36:$V$37,3,FALSE)</f>
        <v>#N/A</v>
      </c>
      <c r="BB70" s="148"/>
      <c r="BC70" s="148">
        <f>IF(ISERROR(BA70),0,BA70)</f>
        <v>0</v>
      </c>
      <c r="BD70" s="149">
        <f>BD71*BC70</f>
        <v>0</v>
      </c>
      <c r="BE70" s="147" t="e">
        <f>VLOOKUP(BF$2,$M$36:$V$37,3,FALSE)</f>
        <v>#N/A</v>
      </c>
      <c r="BF70" s="148"/>
      <c r="BG70" s="148">
        <f>IF(ISERROR(BE70),0,BE70)</f>
        <v>0</v>
      </c>
      <c r="BH70" s="149">
        <f>BH71*BG70</f>
        <v>0</v>
      </c>
      <c r="BI70" s="147" t="e">
        <f>VLOOKUP(BJ$2,$M$36:$V$37,3,FALSE)</f>
        <v>#N/A</v>
      </c>
      <c r="BJ70" s="148"/>
      <c r="BK70" s="148">
        <f>IF(ISERROR(BI70),0,BI70)</f>
        <v>0</v>
      </c>
      <c r="BL70" s="149">
        <f>BL71*BK70</f>
        <v>0</v>
      </c>
      <c r="BM70" s="147" t="e">
        <f>VLOOKUP(BN$2,$M$36:$V$37,3,FALSE)</f>
        <v>#N/A</v>
      </c>
      <c r="BN70" s="148"/>
      <c r="BO70" s="148">
        <f>IF(ISERROR(BM70),0,BM70)</f>
        <v>0</v>
      </c>
      <c r="BP70" s="149">
        <f>BP71*BO70</f>
        <v>0</v>
      </c>
      <c r="BQ70" s="147" t="e">
        <f>VLOOKUP(BR$2,$M$36:$V$37,3,FALSE)</f>
        <v>#N/A</v>
      </c>
      <c r="BR70" s="148"/>
      <c r="BS70" s="148">
        <f>IF(ISERROR(BQ70),0,BQ70)</f>
        <v>0</v>
      </c>
      <c r="BT70" s="149">
        <f>BT71*BS70</f>
        <v>0</v>
      </c>
      <c r="BU70" s="147" t="e">
        <f>VLOOKUP(BV$2,$M$36:$V$37,3,FALSE)</f>
        <v>#N/A</v>
      </c>
      <c r="BV70" s="148"/>
      <c r="BW70" s="148">
        <f>IF(ISERROR(BU70),0,BU70)</f>
        <v>0</v>
      </c>
      <c r="BX70" s="149">
        <f>BX71*BW70</f>
        <v>0</v>
      </c>
      <c r="BY70" s="147" t="e">
        <f>VLOOKUP(BZ$2,$M$36:$V$37,3,FALSE)</f>
        <v>#N/A</v>
      </c>
      <c r="BZ70" s="148"/>
      <c r="CA70" s="148">
        <f>IF(ISERROR(BY70),0,BY70)</f>
        <v>0</v>
      </c>
      <c r="CB70" s="149">
        <f>CB71*CA70</f>
        <v>0</v>
      </c>
      <c r="CC70" s="147" t="e">
        <f>VLOOKUP(CD$2,$M$36:$V$37,3,FALSE)</f>
        <v>#N/A</v>
      </c>
      <c r="CD70" s="148"/>
      <c r="CE70" s="148">
        <f>IF(ISERROR(CC70),0,CC70)</f>
        <v>0</v>
      </c>
      <c r="CF70" s="149">
        <f>CF71*CE70</f>
        <v>0</v>
      </c>
      <c r="CG70" s="147" t="e">
        <f>VLOOKUP(CH$2,$M$36:$V$37,3,FALSE)</f>
        <v>#N/A</v>
      </c>
      <c r="CH70" s="148"/>
      <c r="CI70" s="148">
        <f>IF(ISERROR(CG70),0,CG70)</f>
        <v>0</v>
      </c>
      <c r="CJ70" s="149">
        <f>CJ71*CI70</f>
        <v>0</v>
      </c>
      <c r="CK70" s="147"/>
      <c r="CL70" s="148"/>
      <c r="CM70" s="153">
        <f>CN68</f>
        <v>0</v>
      </c>
      <c r="CN70" s="149"/>
    </row>
    <row r="71" spans="13:92" ht="15.75" customHeight="1" x14ac:dyDescent="0.25">
      <c r="X71" s="93"/>
      <c r="Y71" s="147"/>
      <c r="Z71" s="148"/>
      <c r="AA71" s="148"/>
      <c r="AB71" s="149"/>
      <c r="AC71" s="147"/>
      <c r="AD71" s="148"/>
      <c r="AE71" s="148"/>
      <c r="AF71" s="149"/>
      <c r="AG71" s="147"/>
      <c r="AH71" s="148"/>
      <c r="AI71" s="148"/>
      <c r="AJ71" s="149"/>
      <c r="AK71" s="147"/>
      <c r="AL71" s="148"/>
      <c r="AM71" s="148"/>
      <c r="AN71" s="149"/>
      <c r="AO71" s="147"/>
      <c r="AP71" s="148"/>
      <c r="AQ71" s="148"/>
      <c r="AR71" s="149"/>
      <c r="AS71" s="147"/>
      <c r="AT71" s="148"/>
      <c r="AU71" s="148"/>
      <c r="AV71" s="149"/>
      <c r="AW71" s="147"/>
      <c r="AX71" s="148"/>
      <c r="AY71" s="148"/>
      <c r="AZ71" s="149"/>
      <c r="BA71" s="147"/>
      <c r="BB71" s="148"/>
      <c r="BC71" s="148"/>
      <c r="BD71" s="149"/>
      <c r="BE71" s="147"/>
      <c r="BF71" s="148"/>
      <c r="BG71" s="148"/>
      <c r="BH71" s="149"/>
      <c r="BI71" s="147"/>
      <c r="BJ71" s="148"/>
      <c r="BK71" s="148"/>
      <c r="BL71" s="149"/>
      <c r="BM71" s="147"/>
      <c r="BN71" s="148"/>
      <c r="BO71" s="148"/>
      <c r="BP71" s="149"/>
      <c r="BQ71" s="147"/>
      <c r="BR71" s="148"/>
      <c r="BS71" s="148"/>
      <c r="BT71" s="149"/>
      <c r="BU71" s="147"/>
      <c r="BV71" s="148"/>
      <c r="BW71" s="148"/>
      <c r="BX71" s="149"/>
      <c r="BY71" s="147"/>
      <c r="BZ71" s="148"/>
      <c r="CA71" s="148"/>
      <c r="CB71" s="149"/>
      <c r="CC71" s="147"/>
      <c r="CD71" s="148"/>
      <c r="CE71" s="148"/>
      <c r="CF71" s="149"/>
      <c r="CG71" s="147"/>
      <c r="CH71" s="148"/>
      <c r="CI71" s="148"/>
      <c r="CJ71" s="149"/>
      <c r="CK71" s="147" t="e">
        <f>VLOOKUP(CL$2,$M$14:$U$18,4,FALSE)</f>
        <v>#N/A</v>
      </c>
      <c r="CL71" s="148"/>
      <c r="CM71" s="148">
        <f>IF(ISERROR(CK71),0,CK71)</f>
        <v>0</v>
      </c>
      <c r="CN71" s="149">
        <f>IF(ISERROR(CL71),0,CL71)</f>
        <v>0</v>
      </c>
    </row>
    <row r="72" spans="13:92" ht="15.75" customHeight="1" x14ac:dyDescent="0.25">
      <c r="X72" s="93"/>
      <c r="Y72" s="147"/>
      <c r="Z72" s="148"/>
      <c r="AA72" s="150">
        <f>AA70</f>
        <v>0</v>
      </c>
      <c r="AB72" s="149"/>
      <c r="AC72" s="147"/>
      <c r="AD72" s="148"/>
      <c r="AE72" s="150">
        <f>AE70</f>
        <v>0</v>
      </c>
      <c r="AF72" s="149"/>
      <c r="AG72" s="147"/>
      <c r="AH72" s="148"/>
      <c r="AI72" s="150">
        <f>AI70</f>
        <v>0</v>
      </c>
      <c r="AJ72" s="149"/>
      <c r="AK72" s="147"/>
      <c r="AL72" s="148"/>
      <c r="AM72" s="150">
        <f>AM70</f>
        <v>0</v>
      </c>
      <c r="AN72" s="149"/>
      <c r="AO72" s="147"/>
      <c r="AP72" s="148"/>
      <c r="AQ72" s="150">
        <f>AQ70</f>
        <v>0</v>
      </c>
      <c r="AR72" s="149"/>
      <c r="AS72" s="147"/>
      <c r="AT72" s="148"/>
      <c r="AU72" s="150">
        <f>AU70</f>
        <v>0</v>
      </c>
      <c r="AV72" s="149"/>
      <c r="AW72" s="147"/>
      <c r="AX72" s="148"/>
      <c r="AY72" s="150">
        <f>AY70</f>
        <v>0</v>
      </c>
      <c r="AZ72" s="149"/>
      <c r="BA72" s="147"/>
      <c r="BB72" s="148"/>
      <c r="BC72" s="150">
        <f>BC70</f>
        <v>0</v>
      </c>
      <c r="BD72" s="149"/>
      <c r="BE72" s="147"/>
      <c r="BF72" s="148"/>
      <c r="BG72" s="150">
        <f>BG70</f>
        <v>0</v>
      </c>
      <c r="BH72" s="149"/>
      <c r="BI72" s="147"/>
      <c r="BJ72" s="148"/>
      <c r="BK72" s="150">
        <f>BK70</f>
        <v>0</v>
      </c>
      <c r="BL72" s="149"/>
      <c r="BM72" s="147"/>
      <c r="BN72" s="148"/>
      <c r="BO72" s="150">
        <f>BO70</f>
        <v>0</v>
      </c>
      <c r="BP72" s="149"/>
      <c r="BQ72" s="147"/>
      <c r="BR72" s="148"/>
      <c r="BS72" s="150">
        <f>BS70</f>
        <v>0</v>
      </c>
      <c r="BT72" s="149"/>
      <c r="BU72" s="147"/>
      <c r="BV72" s="148"/>
      <c r="BW72" s="150">
        <f>BW70</f>
        <v>0</v>
      </c>
      <c r="BX72" s="149"/>
      <c r="BY72" s="147"/>
      <c r="BZ72" s="148"/>
      <c r="CA72" s="150">
        <f>CA70</f>
        <v>0</v>
      </c>
      <c r="CB72" s="149"/>
      <c r="CC72" s="147"/>
      <c r="CD72" s="148"/>
      <c r="CE72" s="150">
        <f>CE70</f>
        <v>0</v>
      </c>
      <c r="CF72" s="149"/>
      <c r="CG72" s="147"/>
      <c r="CH72" s="148"/>
      <c r="CI72" s="150">
        <f>CI70</f>
        <v>0</v>
      </c>
      <c r="CJ72" s="149"/>
      <c r="CK72" s="147"/>
      <c r="CL72" s="148"/>
      <c r="CM72" s="153">
        <f>CM71+CN71</f>
        <v>0</v>
      </c>
      <c r="CN72" s="149"/>
    </row>
    <row r="73" spans="13:92" ht="16.5" customHeight="1" x14ac:dyDescent="0.25">
      <c r="X73" s="93" t="s">
        <v>164</v>
      </c>
      <c r="Y73" s="147" t="e">
        <f>VLOOKUP(Z$2,$M$36:$V$37,4,FALSE)</f>
        <v>#N/A</v>
      </c>
      <c r="Z73" s="148"/>
      <c r="AA73" s="148">
        <f>IF(ISERROR(Y73),0,Y73)</f>
        <v>0</v>
      </c>
      <c r="AB73" s="149">
        <f>IF(ISERROR(Z73),0,Z73)</f>
        <v>0</v>
      </c>
      <c r="AC73" s="147" t="e">
        <f>VLOOKUP(AD$2,$M$36:$V$37,4,FALSE)</f>
        <v>#N/A</v>
      </c>
      <c r="AD73" s="148"/>
      <c r="AE73" s="148">
        <f>IF(ISERROR(AC73),0,AC73)</f>
        <v>0</v>
      </c>
      <c r="AF73" s="149">
        <f>IF(ISERROR(AD73),0,AD73)</f>
        <v>0</v>
      </c>
      <c r="AG73" s="147" t="e">
        <f>VLOOKUP(AH$2,$M$36:$V$37,4,FALSE)</f>
        <v>#N/A</v>
      </c>
      <c r="AH73" s="148"/>
      <c r="AI73" s="148">
        <f>IF(ISERROR(AG73),0,AG73)</f>
        <v>0</v>
      </c>
      <c r="AJ73" s="149">
        <f>IF(ISERROR(AH73),0,AH73)</f>
        <v>0</v>
      </c>
      <c r="AK73" s="147" t="e">
        <f>VLOOKUP(AL$2,$M$36:$V$37,4,FALSE)</f>
        <v>#N/A</v>
      </c>
      <c r="AL73" s="148"/>
      <c r="AM73" s="148">
        <f>IF(ISERROR(AK73),0,AK73)</f>
        <v>0</v>
      </c>
      <c r="AN73" s="149">
        <f>IF(ISERROR(AL73),0,AL73)</f>
        <v>0</v>
      </c>
      <c r="AO73" s="147" t="e">
        <f>VLOOKUP(AP$2,$M$36:$V$37,4,FALSE)</f>
        <v>#N/A</v>
      </c>
      <c r="AP73" s="148"/>
      <c r="AQ73" s="148">
        <f>IF(ISERROR(AO73),0,AO73)</f>
        <v>0</v>
      </c>
      <c r="AR73" s="149">
        <f>IF(ISERROR(AP73),0,AP73)</f>
        <v>0</v>
      </c>
      <c r="AS73" s="147" t="e">
        <f>VLOOKUP(AT$2,$M$36:$V$37,4,FALSE)</f>
        <v>#N/A</v>
      </c>
      <c r="AT73" s="148"/>
      <c r="AU73" s="148">
        <f>IF(ISERROR(AS73),0,AS73)</f>
        <v>0</v>
      </c>
      <c r="AV73" s="149">
        <f>IF(ISERROR(AT73),0,AT73)</f>
        <v>0</v>
      </c>
      <c r="AW73" s="147" t="e">
        <f>VLOOKUP(AX$2,$M$36:$V$37,4,FALSE)</f>
        <v>#N/A</v>
      </c>
      <c r="AX73" s="148"/>
      <c r="AY73" s="148">
        <f>IF(ISERROR(AW73),0,AW73)</f>
        <v>0</v>
      </c>
      <c r="AZ73" s="149">
        <f>IF(ISERROR(AX73),0,AX73)</f>
        <v>0</v>
      </c>
      <c r="BA73" s="147" t="e">
        <f>VLOOKUP(BB$2,$M$36:$V$37,4,FALSE)</f>
        <v>#N/A</v>
      </c>
      <c r="BB73" s="148"/>
      <c r="BC73" s="148">
        <f>IF(ISERROR(BA73),0,BA73)</f>
        <v>0</v>
      </c>
      <c r="BD73" s="149">
        <f>IF(ISERROR(BB73),0,BB73)</f>
        <v>0</v>
      </c>
      <c r="BE73" s="147" t="e">
        <f>VLOOKUP(BF$2,$M$36:$V$37,4,FALSE)</f>
        <v>#N/A</v>
      </c>
      <c r="BF73" s="148"/>
      <c r="BG73" s="148">
        <f>IF(ISERROR(BE73),0,BE73)</f>
        <v>0</v>
      </c>
      <c r="BH73" s="149">
        <f>IF(ISERROR(BF73),0,BF73)</f>
        <v>0</v>
      </c>
      <c r="BI73" s="147" t="e">
        <f>VLOOKUP(BJ$2,$M$36:$V$37,4,FALSE)</f>
        <v>#N/A</v>
      </c>
      <c r="BJ73" s="148"/>
      <c r="BK73" s="148">
        <f>IF(ISERROR(BI73),0,BI73)</f>
        <v>0</v>
      </c>
      <c r="BL73" s="149">
        <f>IF(ISERROR(BJ73),0,BJ73)</f>
        <v>0</v>
      </c>
      <c r="BM73" s="147" t="e">
        <f>VLOOKUP(BN$2,$M$36:$V$37,4,FALSE)</f>
        <v>#N/A</v>
      </c>
      <c r="BN73" s="148"/>
      <c r="BO73" s="148">
        <f>IF(ISERROR(BM73),0,BM73)</f>
        <v>0</v>
      </c>
      <c r="BP73" s="149">
        <f>IF(ISERROR(BN73),0,BN73)</f>
        <v>0</v>
      </c>
      <c r="BQ73" s="147" t="e">
        <f>VLOOKUP(BR$2,$M$36:$V$37,4,FALSE)</f>
        <v>#N/A</v>
      </c>
      <c r="BR73" s="148"/>
      <c r="BS73" s="148">
        <f>IF(ISERROR(BQ73),0,BQ73)</f>
        <v>0</v>
      </c>
      <c r="BT73" s="149">
        <f>IF(ISERROR(BR73),0,BR73)</f>
        <v>0</v>
      </c>
      <c r="BU73" s="147" t="e">
        <f>VLOOKUP(BV$2,$M$36:$V$37,4,FALSE)</f>
        <v>#N/A</v>
      </c>
      <c r="BV73" s="148"/>
      <c r="BW73" s="148">
        <f>IF(ISERROR(BU73),0,BU73)</f>
        <v>0</v>
      </c>
      <c r="BX73" s="149">
        <f>IF(ISERROR(BV73),0,BV73)</f>
        <v>0</v>
      </c>
      <c r="BY73" s="147" t="e">
        <f>VLOOKUP(BZ$2,$M$36:$V$37,4,FALSE)</f>
        <v>#N/A</v>
      </c>
      <c r="BZ73" s="148"/>
      <c r="CA73" s="148">
        <f>IF(ISERROR(BY73),0,BY73)</f>
        <v>0</v>
      </c>
      <c r="CB73" s="149">
        <f>IF(ISERROR(BZ73),0,BZ73)</f>
        <v>0</v>
      </c>
      <c r="CC73" s="147" t="e">
        <f>VLOOKUP(CD$2,$M$36:$V$37,4,FALSE)</f>
        <v>#N/A</v>
      </c>
      <c r="CD73" s="148"/>
      <c r="CE73" s="148">
        <f>IF(ISERROR(CC73),0,CC73)</f>
        <v>0</v>
      </c>
      <c r="CF73" s="149">
        <f>IF(ISERROR(CD73),0,CD73)</f>
        <v>0</v>
      </c>
      <c r="CG73" s="147" t="e">
        <f>VLOOKUP(CH$2,$M$36:$V$37,4,FALSE)</f>
        <v>#N/A</v>
      </c>
      <c r="CH73" s="148"/>
      <c r="CI73" s="148">
        <f>IF(ISERROR(CG73),0,CG73)</f>
        <v>0</v>
      </c>
      <c r="CJ73" s="149">
        <f>IF(ISERROR(CH73),0,CH73)</f>
        <v>0</v>
      </c>
      <c r="CK73" s="147" t="e">
        <f>VLOOKUP(CL$2,$M$14:$U$18,9,FALSE)</f>
        <v>#N/A</v>
      </c>
      <c r="CL73" s="148"/>
      <c r="CM73" s="153">
        <f>IF(ISERROR(CK73),0,CK73)</f>
        <v>0</v>
      </c>
      <c r="CN73" s="149">
        <f>IF(ISERROR(CL73),0,CL73)</f>
        <v>0</v>
      </c>
    </row>
    <row r="74" spans="13:92" ht="15.75" customHeight="1" x14ac:dyDescent="0.25">
      <c r="X74" s="93"/>
      <c r="Y74" s="147"/>
      <c r="Z74" s="148"/>
      <c r="AA74" s="150">
        <f>AA73+AB73</f>
        <v>0</v>
      </c>
      <c r="AB74" s="149"/>
      <c r="AC74" s="147"/>
      <c r="AD74" s="148"/>
      <c r="AE74" s="150">
        <f>AE73+AF73</f>
        <v>0</v>
      </c>
      <c r="AF74" s="149"/>
      <c r="AG74" s="147"/>
      <c r="AH74" s="148"/>
      <c r="AI74" s="150">
        <f>AI73+AJ73</f>
        <v>0</v>
      </c>
      <c r="AJ74" s="149"/>
      <c r="AK74" s="147"/>
      <c r="AL74" s="148"/>
      <c r="AM74" s="150">
        <f>AM73+AN73</f>
        <v>0</v>
      </c>
      <c r="AN74" s="149"/>
      <c r="AO74" s="147"/>
      <c r="AP74" s="148"/>
      <c r="AQ74" s="150">
        <f>AQ73+AR73</f>
        <v>0</v>
      </c>
      <c r="AR74" s="149"/>
      <c r="AS74" s="147"/>
      <c r="AT74" s="148"/>
      <c r="AU74" s="150">
        <f>AU73+AV73</f>
        <v>0</v>
      </c>
      <c r="AV74" s="149"/>
      <c r="AW74" s="147"/>
      <c r="AX74" s="148"/>
      <c r="AY74" s="150">
        <f>AY73+AZ73</f>
        <v>0</v>
      </c>
      <c r="AZ74" s="149"/>
      <c r="BA74" s="147"/>
      <c r="BB74" s="148"/>
      <c r="BC74" s="150">
        <f>BC73+BD73</f>
        <v>0</v>
      </c>
      <c r="BD74" s="149"/>
      <c r="BE74" s="147"/>
      <c r="BF74" s="148"/>
      <c r="BG74" s="150">
        <f>BG73+BH73</f>
        <v>0</v>
      </c>
      <c r="BH74" s="149"/>
      <c r="BI74" s="147"/>
      <c r="BJ74" s="148"/>
      <c r="BK74" s="150">
        <f>BK73+BL73</f>
        <v>0</v>
      </c>
      <c r="BL74" s="149"/>
      <c r="BM74" s="147"/>
      <c r="BN74" s="148"/>
      <c r="BO74" s="150">
        <f>BO73+BP73</f>
        <v>0</v>
      </c>
      <c r="BP74" s="149"/>
      <c r="BQ74" s="147"/>
      <c r="BR74" s="148"/>
      <c r="BS74" s="150">
        <f>BS73+BT73</f>
        <v>0</v>
      </c>
      <c r="BT74" s="149"/>
      <c r="BU74" s="147"/>
      <c r="BV74" s="148"/>
      <c r="BW74" s="150">
        <f>BW73+BX73</f>
        <v>0</v>
      </c>
      <c r="BX74" s="149"/>
      <c r="BY74" s="147"/>
      <c r="BZ74" s="148"/>
      <c r="CA74" s="150">
        <f>CA73+CB73</f>
        <v>0</v>
      </c>
      <c r="CB74" s="149"/>
      <c r="CC74" s="147"/>
      <c r="CD74" s="148"/>
      <c r="CE74" s="150">
        <f>CE73+CF73</f>
        <v>0</v>
      </c>
      <c r="CF74" s="149"/>
      <c r="CG74" s="147"/>
      <c r="CH74" s="148"/>
      <c r="CI74" s="150">
        <f>CI73+CJ73</f>
        <v>0</v>
      </c>
      <c r="CJ74" s="149"/>
      <c r="CK74" s="147" t="e">
        <f>VLOOKUP(CL$2,$M$14:$U$18,5,FALSE)</f>
        <v>#N/A</v>
      </c>
      <c r="CL74" s="148"/>
      <c r="CM74" s="148">
        <f>IF(ISERROR(CK74),0,CK74)</f>
        <v>0</v>
      </c>
      <c r="CN74" s="149">
        <f>IF(ISERROR(CL74),0,CL74)</f>
        <v>0</v>
      </c>
    </row>
    <row r="75" spans="13:92" ht="17.25" customHeight="1" x14ac:dyDescent="0.25">
      <c r="X75" s="93" t="s">
        <v>165</v>
      </c>
      <c r="Y75" s="147" t="e">
        <f>VLOOKUP(Z$2,$M$36:$V$37,9,FALSE)</f>
        <v>#N/A</v>
      </c>
      <c r="Z75" s="148"/>
      <c r="AA75" s="150">
        <f>IF(ISERROR(Y75),0,Y75)</f>
        <v>0</v>
      </c>
      <c r="AB75" s="149">
        <f>IF(ISERROR(Z75),0,Z75)</f>
        <v>0</v>
      </c>
      <c r="AC75" s="147" t="e">
        <f>VLOOKUP(AD$2,$M$36:$V$37,9,FALSE)</f>
        <v>#N/A</v>
      </c>
      <c r="AD75" s="148"/>
      <c r="AE75" s="150">
        <f>IF(ISERROR(AC75),0,AC75)</f>
        <v>0</v>
      </c>
      <c r="AF75" s="149">
        <f>IF(ISERROR(AD75),0,AD75)</f>
        <v>0</v>
      </c>
      <c r="AG75" s="147" t="e">
        <f>VLOOKUP(AH$2,$M$36:$V$37,9,FALSE)</f>
        <v>#N/A</v>
      </c>
      <c r="AH75" s="148"/>
      <c r="AI75" s="150">
        <f>IF(ISERROR(AG75),0,AG75)</f>
        <v>0</v>
      </c>
      <c r="AJ75" s="149">
        <f>IF(ISERROR(AH75),0,AH75)</f>
        <v>0</v>
      </c>
      <c r="AK75" s="147" t="e">
        <f>VLOOKUP(AL$2,$M$36:$V$37,9,FALSE)</f>
        <v>#N/A</v>
      </c>
      <c r="AL75" s="148"/>
      <c r="AM75" s="150">
        <f>IF(ISERROR(AK75),0,AK75)</f>
        <v>0</v>
      </c>
      <c r="AN75" s="149">
        <f>IF(ISERROR(AL75),0,AL75)</f>
        <v>0</v>
      </c>
      <c r="AO75" s="147" t="e">
        <f>VLOOKUP(AP$2,$M$36:$V$37,9,FALSE)</f>
        <v>#N/A</v>
      </c>
      <c r="AP75" s="148"/>
      <c r="AQ75" s="150">
        <f>IF(ISERROR(AO75),0,AO75)</f>
        <v>0</v>
      </c>
      <c r="AR75" s="149">
        <f>IF(ISERROR(AP75),0,AP75)</f>
        <v>0</v>
      </c>
      <c r="AS75" s="147" t="e">
        <f>VLOOKUP(AT$2,$M$36:$V$37,9,FALSE)</f>
        <v>#N/A</v>
      </c>
      <c r="AT75" s="148"/>
      <c r="AU75" s="150">
        <f>IF(ISERROR(AS75),0,AS75)</f>
        <v>0</v>
      </c>
      <c r="AV75" s="149">
        <f>IF(ISERROR(AT75),0,AT75)</f>
        <v>0</v>
      </c>
      <c r="AW75" s="147" t="e">
        <f>VLOOKUP(AX$2,$M$36:$V$37,9,FALSE)</f>
        <v>#N/A</v>
      </c>
      <c r="AX75" s="148"/>
      <c r="AY75" s="150">
        <f>IF(ISERROR(AW75),0,AW75)</f>
        <v>0</v>
      </c>
      <c r="AZ75" s="149">
        <f>IF(ISERROR(AX75),0,AX75)</f>
        <v>0</v>
      </c>
      <c r="BA75" s="147" t="e">
        <f>VLOOKUP(BB$2,$M$36:$V$37,9,FALSE)</f>
        <v>#N/A</v>
      </c>
      <c r="BB75" s="148"/>
      <c r="BC75" s="150">
        <f>IF(ISERROR(BA75),0,BA75)</f>
        <v>0</v>
      </c>
      <c r="BD75" s="149">
        <f>IF(ISERROR(BB75),0,BB75)</f>
        <v>0</v>
      </c>
      <c r="BE75" s="147" t="e">
        <f>VLOOKUP(BF$2,$M$36:$V$37,9,FALSE)</f>
        <v>#N/A</v>
      </c>
      <c r="BF75" s="148"/>
      <c r="BG75" s="150">
        <f>IF(ISERROR(BE75),0,BE75)</f>
        <v>0</v>
      </c>
      <c r="BH75" s="149">
        <f>IF(ISERROR(BF75),0,BF75)</f>
        <v>0</v>
      </c>
      <c r="BI75" s="147" t="e">
        <f>VLOOKUP(BJ$2,$M$36:$V$37,9,FALSE)</f>
        <v>#N/A</v>
      </c>
      <c r="BJ75" s="148"/>
      <c r="BK75" s="150">
        <f>IF(ISERROR(BI75),0,BI75)</f>
        <v>0</v>
      </c>
      <c r="BL75" s="149">
        <f>IF(ISERROR(BJ75),0,BJ75)</f>
        <v>0</v>
      </c>
      <c r="BM75" s="147" t="e">
        <f>VLOOKUP(BN$2,$M$36:$V$37,9,FALSE)</f>
        <v>#N/A</v>
      </c>
      <c r="BN75" s="148"/>
      <c r="BO75" s="150">
        <f>IF(ISERROR(BM75),0,BM75)</f>
        <v>0</v>
      </c>
      <c r="BP75" s="149">
        <f>IF(ISERROR(BN75),0,BN75)</f>
        <v>0</v>
      </c>
      <c r="BQ75" s="147" t="e">
        <f>VLOOKUP(BR$2,$M$36:$V$37,9,FALSE)</f>
        <v>#N/A</v>
      </c>
      <c r="BR75" s="148"/>
      <c r="BS75" s="150">
        <f>IF(ISERROR(BQ75),0,BQ75)</f>
        <v>0</v>
      </c>
      <c r="BT75" s="149">
        <f>IF(ISERROR(BR75),0,BR75)</f>
        <v>0</v>
      </c>
      <c r="BU75" s="147" t="e">
        <f>VLOOKUP(BV$2,$M$36:$V$37,9,FALSE)</f>
        <v>#N/A</v>
      </c>
      <c r="BV75" s="148"/>
      <c r="BW75" s="150">
        <f>IF(ISERROR(BU75),0,BU75)</f>
        <v>0</v>
      </c>
      <c r="BX75" s="149">
        <f>IF(ISERROR(BV75),0,BV75)</f>
        <v>0</v>
      </c>
      <c r="BY75" s="147" t="e">
        <f>VLOOKUP(BZ$2,$M$36:$V$37,9,FALSE)</f>
        <v>#N/A</v>
      </c>
      <c r="BZ75" s="148"/>
      <c r="CA75" s="150">
        <f>IF(ISERROR(BY75),0,BY75)</f>
        <v>0</v>
      </c>
      <c r="CB75" s="149">
        <f>IF(ISERROR(BZ75),0,BZ75)</f>
        <v>0</v>
      </c>
      <c r="CC75" s="147" t="e">
        <f>VLOOKUP(CD$2,$M$36:$V$37,9,FALSE)</f>
        <v>#N/A</v>
      </c>
      <c r="CD75" s="148"/>
      <c r="CE75" s="150">
        <f>IF(ISERROR(CC75),0,CC75)</f>
        <v>0</v>
      </c>
      <c r="CF75" s="149">
        <f>IF(ISERROR(CD75),0,CD75)</f>
        <v>0</v>
      </c>
      <c r="CG75" s="147" t="e">
        <f>VLOOKUP(CH$2,$M$36:$V$37,9,FALSE)</f>
        <v>#N/A</v>
      </c>
      <c r="CH75" s="148"/>
      <c r="CI75" s="150">
        <f>IF(ISERROR(CG75),0,CG75)</f>
        <v>0</v>
      </c>
      <c r="CJ75" s="149">
        <f>IF(ISERROR(CH75),0,CH75)</f>
        <v>0</v>
      </c>
      <c r="CK75" s="147"/>
      <c r="CL75" s="148"/>
      <c r="CM75" s="153">
        <f>CM74</f>
        <v>0</v>
      </c>
      <c r="CN75" s="149"/>
    </row>
    <row r="76" spans="13:92" ht="16.5" customHeight="1" x14ac:dyDescent="0.25">
      <c r="X76" s="93" t="s">
        <v>166</v>
      </c>
      <c r="Y76" s="147" t="e">
        <f>VLOOKUP(Z$2,$M$36:$V$37,5,FALSE)</f>
        <v>#N/A</v>
      </c>
      <c r="Z76" s="148"/>
      <c r="AA76" s="148">
        <f>IF(ISERROR(Y76),0,Y76)</f>
        <v>0</v>
      </c>
      <c r="AB76" s="149">
        <f>IF(ISERROR(Z76),0,Z76)</f>
        <v>0</v>
      </c>
      <c r="AC76" s="147" t="e">
        <f>VLOOKUP(AD$2,$M$36:$V$37,5,FALSE)</f>
        <v>#N/A</v>
      </c>
      <c r="AD76" s="148"/>
      <c r="AE76" s="148">
        <f>IF(ISERROR(AC76),0,AC76)</f>
        <v>0</v>
      </c>
      <c r="AF76" s="149">
        <f>IF(ISERROR(AD76),0,AD76)</f>
        <v>0</v>
      </c>
      <c r="AG76" s="147" t="e">
        <f>VLOOKUP(AH$2,$M$36:$V$37,5,FALSE)</f>
        <v>#N/A</v>
      </c>
      <c r="AH76" s="148"/>
      <c r="AI76" s="148">
        <f>IF(ISERROR(AG76),0,AG76)</f>
        <v>0</v>
      </c>
      <c r="AJ76" s="149">
        <f>IF(ISERROR(AH76),0,AH76)</f>
        <v>0</v>
      </c>
      <c r="AK76" s="147" t="e">
        <f>VLOOKUP(AL$2,$M$36:$V$37,5,FALSE)</f>
        <v>#N/A</v>
      </c>
      <c r="AL76" s="148"/>
      <c r="AM76" s="148">
        <f>IF(ISERROR(AK76),0,AK76)</f>
        <v>0</v>
      </c>
      <c r="AN76" s="149">
        <f>IF(ISERROR(AL76),0,AL76)</f>
        <v>0</v>
      </c>
      <c r="AO76" s="147" t="e">
        <f>VLOOKUP(AP$2,$M$36:$V$37,5,FALSE)</f>
        <v>#N/A</v>
      </c>
      <c r="AP76" s="148"/>
      <c r="AQ76" s="148">
        <f>IF(ISERROR(AO76),0,AO76)</f>
        <v>0</v>
      </c>
      <c r="AR76" s="149">
        <f>IF(ISERROR(AP76),0,AP76)</f>
        <v>0</v>
      </c>
      <c r="AS76" s="147" t="e">
        <f>VLOOKUP(AT$2,$M$36:$V$37,5,FALSE)</f>
        <v>#N/A</v>
      </c>
      <c r="AT76" s="148"/>
      <c r="AU76" s="148">
        <f>IF(ISERROR(AS76),0,AS76)</f>
        <v>0</v>
      </c>
      <c r="AV76" s="149">
        <f>IF(ISERROR(AT76),0,AT76)</f>
        <v>0</v>
      </c>
      <c r="AW76" s="147" t="e">
        <f>VLOOKUP(AX$2,$M$36:$V$37,5,FALSE)</f>
        <v>#N/A</v>
      </c>
      <c r="AX76" s="148"/>
      <c r="AY76" s="148">
        <f>IF(ISERROR(AW76),0,AW76)</f>
        <v>0</v>
      </c>
      <c r="AZ76" s="149">
        <f>IF(ISERROR(AX76),0,AX76)</f>
        <v>0</v>
      </c>
      <c r="BA76" s="147" t="e">
        <f>VLOOKUP(BB$2,$M$36:$V$37,5,FALSE)</f>
        <v>#N/A</v>
      </c>
      <c r="BB76" s="148"/>
      <c r="BC76" s="148">
        <f>IF(ISERROR(BA76),0,BA76)</f>
        <v>0</v>
      </c>
      <c r="BD76" s="149">
        <f>IF(ISERROR(BB76),0,BB76)</f>
        <v>0</v>
      </c>
      <c r="BE76" s="147" t="e">
        <f>VLOOKUP(BF$2,$M$36:$V$37,5,FALSE)</f>
        <v>#N/A</v>
      </c>
      <c r="BF76" s="148"/>
      <c r="BG76" s="148">
        <f>IF(ISERROR(BE76),0,BE76)</f>
        <v>0</v>
      </c>
      <c r="BH76" s="149">
        <f>IF(ISERROR(BF76),0,BF76)</f>
        <v>0</v>
      </c>
      <c r="BI76" s="147" t="e">
        <f>VLOOKUP(BJ$2,$M$36:$V$37,5,FALSE)</f>
        <v>#N/A</v>
      </c>
      <c r="BJ76" s="148"/>
      <c r="BK76" s="148">
        <f>IF(ISERROR(BI76),0,BI76)</f>
        <v>0</v>
      </c>
      <c r="BL76" s="149">
        <f>IF(ISERROR(BJ76),0,BJ76)</f>
        <v>0</v>
      </c>
      <c r="BM76" s="147" t="e">
        <f>VLOOKUP(BN$2,$M$36:$V$37,5,FALSE)</f>
        <v>#N/A</v>
      </c>
      <c r="BN76" s="148"/>
      <c r="BO76" s="148">
        <f>IF(ISERROR(BM76),0,BM76)</f>
        <v>0</v>
      </c>
      <c r="BP76" s="149">
        <f>IF(ISERROR(BN76),0,BN76)</f>
        <v>0</v>
      </c>
      <c r="BQ76" s="147" t="e">
        <f>VLOOKUP(BR$2,$M$36:$V$37,5,FALSE)</f>
        <v>#N/A</v>
      </c>
      <c r="BR76" s="148"/>
      <c r="BS76" s="148">
        <f>IF(ISERROR(BQ76),0,BQ76)</f>
        <v>0</v>
      </c>
      <c r="BT76" s="149">
        <f>IF(ISERROR(BR76),0,BR76)</f>
        <v>0</v>
      </c>
      <c r="BU76" s="147" t="e">
        <f>VLOOKUP(BV$2,$M$36:$V$37,5,FALSE)</f>
        <v>#N/A</v>
      </c>
      <c r="BV76" s="148"/>
      <c r="BW76" s="148">
        <f>IF(ISERROR(BU76),0,BU76)</f>
        <v>0</v>
      </c>
      <c r="BX76" s="149">
        <f>IF(ISERROR(BV76),0,BV76)</f>
        <v>0</v>
      </c>
      <c r="BY76" s="147" t="e">
        <f>VLOOKUP(BZ$2,$M$36:$V$37,5,FALSE)</f>
        <v>#N/A</v>
      </c>
      <c r="BZ76" s="148"/>
      <c r="CA76" s="148">
        <f>IF(ISERROR(BY76),0,BY76)</f>
        <v>0</v>
      </c>
      <c r="CB76" s="149">
        <f>IF(ISERROR(BZ76),0,BZ76)</f>
        <v>0</v>
      </c>
      <c r="CC76" s="147" t="e">
        <f>VLOOKUP(CD$2,$M$36:$V$37,5,FALSE)</f>
        <v>#N/A</v>
      </c>
      <c r="CD76" s="148"/>
      <c r="CE76" s="148">
        <f>IF(ISERROR(CC76),0,CC76)</f>
        <v>0</v>
      </c>
      <c r="CF76" s="149">
        <f>IF(ISERROR(CD76),0,CD76)</f>
        <v>0</v>
      </c>
      <c r="CG76" s="147" t="e">
        <f>VLOOKUP(CH$2,$M$36:$V$37,5,FALSE)</f>
        <v>#N/A</v>
      </c>
      <c r="CH76" s="148"/>
      <c r="CI76" s="148">
        <f>IF(ISERROR(CG76),0,CG76)</f>
        <v>0</v>
      </c>
      <c r="CJ76" s="149">
        <f>IF(ISERROR(CH76),0,CH76)</f>
        <v>0</v>
      </c>
      <c r="CK76" s="155">
        <f>IF(CM73=2,CM70/CM72,0)</f>
        <v>0</v>
      </c>
      <c r="CL76" s="148"/>
      <c r="CM76" s="148"/>
      <c r="CN76" s="149"/>
    </row>
    <row r="77" spans="13:92" ht="15.75" customHeight="1" x14ac:dyDescent="0.25">
      <c r="X77" s="93"/>
      <c r="Y77" s="147"/>
      <c r="Z77" s="148"/>
      <c r="AA77" s="150">
        <f>AA76</f>
        <v>0</v>
      </c>
      <c r="AB77" s="149"/>
      <c r="AC77" s="147"/>
      <c r="AD77" s="148"/>
      <c r="AE77" s="150">
        <f>AE76</f>
        <v>0</v>
      </c>
      <c r="AF77" s="149"/>
      <c r="AG77" s="147"/>
      <c r="AH77" s="148"/>
      <c r="AI77" s="150">
        <f>AI76</f>
        <v>0</v>
      </c>
      <c r="AJ77" s="149"/>
      <c r="AK77" s="147"/>
      <c r="AL77" s="148"/>
      <c r="AM77" s="150">
        <f>AM76</f>
        <v>0</v>
      </c>
      <c r="AN77" s="149"/>
      <c r="AO77" s="147"/>
      <c r="AP77" s="148"/>
      <c r="AQ77" s="150">
        <f>AQ76</f>
        <v>0</v>
      </c>
      <c r="AR77" s="149"/>
      <c r="AS77" s="147"/>
      <c r="AT77" s="148"/>
      <c r="AU77" s="150">
        <f>AU76</f>
        <v>0</v>
      </c>
      <c r="AV77" s="149"/>
      <c r="AW77" s="147"/>
      <c r="AX77" s="148"/>
      <c r="AY77" s="150">
        <f>AY76</f>
        <v>0</v>
      </c>
      <c r="AZ77" s="149"/>
      <c r="BA77" s="147"/>
      <c r="BB77" s="148"/>
      <c r="BC77" s="150">
        <f>BC76</f>
        <v>0</v>
      </c>
      <c r="BD77" s="149"/>
      <c r="BE77" s="147"/>
      <c r="BF77" s="148"/>
      <c r="BG77" s="150">
        <f>BG76</f>
        <v>0</v>
      </c>
      <c r="BH77" s="149"/>
      <c r="BI77" s="147"/>
      <c r="BJ77" s="148"/>
      <c r="BK77" s="150">
        <f>BK76</f>
        <v>0</v>
      </c>
      <c r="BL77" s="149"/>
      <c r="BM77" s="147"/>
      <c r="BN77" s="148"/>
      <c r="BO77" s="150">
        <f>BO76</f>
        <v>0</v>
      </c>
      <c r="BP77" s="149"/>
      <c r="BQ77" s="147"/>
      <c r="BR77" s="148"/>
      <c r="BS77" s="150">
        <f>BS76</f>
        <v>0</v>
      </c>
      <c r="BT77" s="149"/>
      <c r="BU77" s="147"/>
      <c r="BV77" s="148"/>
      <c r="BW77" s="150">
        <f>BW76</f>
        <v>0</v>
      </c>
      <c r="BX77" s="149"/>
      <c r="BY77" s="147"/>
      <c r="BZ77" s="148"/>
      <c r="CA77" s="150">
        <f>CA76</f>
        <v>0</v>
      </c>
      <c r="CB77" s="149"/>
      <c r="CC77" s="147"/>
      <c r="CD77" s="148"/>
      <c r="CE77" s="150">
        <f>CE76</f>
        <v>0</v>
      </c>
      <c r="CF77" s="149"/>
      <c r="CG77" s="147"/>
      <c r="CH77" s="148"/>
      <c r="CI77" s="150">
        <f>CI76</f>
        <v>0</v>
      </c>
      <c r="CJ77" s="149"/>
      <c r="CK77" s="147"/>
      <c r="CL77" s="148"/>
      <c r="CM77" s="148"/>
      <c r="CN77" s="149"/>
    </row>
    <row r="78" spans="13:92" ht="16.5" customHeight="1" x14ac:dyDescent="0.25">
      <c r="X78" s="93" t="s">
        <v>167</v>
      </c>
      <c r="Y78" s="152">
        <f>IF(AA74&gt;=1,AA72/AA73,0)</f>
        <v>0</v>
      </c>
      <c r="Z78" s="148"/>
      <c r="AA78" s="148"/>
      <c r="AB78" s="149"/>
      <c r="AC78" s="152">
        <f>IF(AE74&gt;=1,AE72/AE73,0)</f>
        <v>0</v>
      </c>
      <c r="AD78" s="148"/>
      <c r="AE78" s="148"/>
      <c r="AF78" s="149"/>
      <c r="AG78" s="152">
        <f>IF(AI74&gt;=1,AI72/AI73,0)</f>
        <v>0</v>
      </c>
      <c r="AH78" s="148"/>
      <c r="AI78" s="148"/>
      <c r="AJ78" s="149"/>
      <c r="AK78" s="152">
        <f>IF(AM74&gt;=1,AM72/AM73,0)</f>
        <v>0</v>
      </c>
      <c r="AL78" s="148"/>
      <c r="AM78" s="148"/>
      <c r="AN78" s="149"/>
      <c r="AO78" s="152">
        <f>IF(AQ74&gt;=1,AQ72/AQ73,0)</f>
        <v>0</v>
      </c>
      <c r="AP78" s="148"/>
      <c r="AQ78" s="148"/>
      <c r="AR78" s="149"/>
      <c r="AS78" s="152">
        <f>IF(AU74&gt;=1,AU72/AU73,0)</f>
        <v>0</v>
      </c>
      <c r="AT78" s="148"/>
      <c r="AU78" s="148"/>
      <c r="AV78" s="149"/>
      <c r="AW78" s="152">
        <f>IF(AY74&gt;=1,AY72/AY73,0)</f>
        <v>0</v>
      </c>
      <c r="AX78" s="148"/>
      <c r="AY78" s="148"/>
      <c r="AZ78" s="149"/>
      <c r="BA78" s="152">
        <f>IF(BC74&gt;=1,BC72/BC73,0)</f>
        <v>0</v>
      </c>
      <c r="BB78" s="148"/>
      <c r="BC78" s="148"/>
      <c r="BD78" s="149"/>
      <c r="BE78" s="152">
        <f>IF(BG74&gt;=1,BG72/BG73,0)</f>
        <v>0</v>
      </c>
      <c r="BF78" s="148"/>
      <c r="BG78" s="148"/>
      <c r="BH78" s="149"/>
      <c r="BI78" s="152">
        <f>IF(BK74&gt;=1,BK72/BK73,0)</f>
        <v>0</v>
      </c>
      <c r="BJ78" s="148"/>
      <c r="BK78" s="148"/>
      <c r="BL78" s="149"/>
      <c r="BM78" s="152">
        <f>IF(BO74&gt;=1,BO72/BO73,0)</f>
        <v>0</v>
      </c>
      <c r="BN78" s="148"/>
      <c r="BO78" s="148"/>
      <c r="BP78" s="149"/>
      <c r="BQ78" s="152">
        <f>IF(BS74&gt;=1,BS72/BS73,0)</f>
        <v>0</v>
      </c>
      <c r="BR78" s="148"/>
      <c r="BS78" s="148"/>
      <c r="BT78" s="149"/>
      <c r="BU78" s="152">
        <f>IF(BW74&gt;=1,BW72/BW73,0)</f>
        <v>0</v>
      </c>
      <c r="BV78" s="148"/>
      <c r="BW78" s="148"/>
      <c r="BX78" s="149"/>
      <c r="BY78" s="152">
        <f>IF(CA74&gt;=1,CA72/CA73,0)</f>
        <v>0</v>
      </c>
      <c r="BZ78" s="148"/>
      <c r="CA78" s="148"/>
      <c r="CB78" s="149"/>
      <c r="CC78" s="152">
        <f>IF(CE74&gt;=1,CE72/CE73,0)</f>
        <v>0</v>
      </c>
      <c r="CD78" s="148"/>
      <c r="CE78" s="148"/>
      <c r="CF78" s="149"/>
      <c r="CG78" s="152">
        <f>IF(CI74&gt;=1,CI72/CI73,0)</f>
        <v>0</v>
      </c>
      <c r="CH78" s="148"/>
      <c r="CI78" s="148"/>
      <c r="CJ78" s="149"/>
      <c r="CK78" s="196"/>
      <c r="CL78" s="196"/>
      <c r="CM78" s="196"/>
      <c r="CN78" s="196"/>
    </row>
    <row r="79" spans="13:92" ht="15.75" customHeight="1" x14ac:dyDescent="0.25">
      <c r="X79" s="93"/>
      <c r="Y79" s="147"/>
      <c r="Z79" s="148"/>
      <c r="AA79" s="148"/>
      <c r="AB79" s="149"/>
      <c r="AC79" s="147"/>
      <c r="AD79" s="148"/>
      <c r="AE79" s="148"/>
      <c r="AF79" s="149"/>
      <c r="AG79" s="147"/>
      <c r="AH79" s="148"/>
      <c r="AI79" s="148"/>
      <c r="AJ79" s="149"/>
      <c r="AK79" s="147"/>
      <c r="AL79" s="148"/>
      <c r="AM79" s="148"/>
      <c r="AN79" s="149"/>
      <c r="AO79" s="147"/>
      <c r="AP79" s="148"/>
      <c r="AQ79" s="148"/>
      <c r="AR79" s="149"/>
      <c r="AS79" s="147"/>
      <c r="AT79" s="148"/>
      <c r="AU79" s="148"/>
      <c r="AV79" s="149"/>
      <c r="AW79" s="147"/>
      <c r="AX79" s="148"/>
      <c r="AY79" s="148"/>
      <c r="AZ79" s="149"/>
      <c r="BA79" s="147"/>
      <c r="BB79" s="148"/>
      <c r="BC79" s="148"/>
      <c r="BD79" s="149"/>
      <c r="BE79" s="147"/>
      <c r="BF79" s="148"/>
      <c r="BG79" s="148"/>
      <c r="BH79" s="149"/>
      <c r="BI79" s="147"/>
      <c r="BJ79" s="148"/>
      <c r="BK79" s="148"/>
      <c r="BL79" s="149"/>
      <c r="BM79" s="147"/>
      <c r="BN79" s="148"/>
      <c r="BO79" s="148"/>
      <c r="BP79" s="149"/>
      <c r="BQ79" s="147"/>
      <c r="BR79" s="148"/>
      <c r="BS79" s="148"/>
      <c r="BT79" s="149"/>
      <c r="BU79" s="147"/>
      <c r="BV79" s="148"/>
      <c r="BW79" s="148"/>
      <c r="BX79" s="149"/>
      <c r="BY79" s="147"/>
      <c r="BZ79" s="148"/>
      <c r="CA79" s="148"/>
      <c r="CB79" s="149"/>
      <c r="CC79" s="147"/>
      <c r="CD79" s="148"/>
      <c r="CE79" s="148"/>
      <c r="CF79" s="149"/>
      <c r="CG79" s="147"/>
      <c r="CH79" s="148"/>
      <c r="CI79" s="148"/>
      <c r="CJ79" s="149"/>
      <c r="CK79" s="196" t="s">
        <v>161</v>
      </c>
      <c r="CL79" s="197" t="e">
        <f>IF(AND(CK73=0,CM72&gt;1),1,2)</f>
        <v>#N/A</v>
      </c>
      <c r="CM79" s="153">
        <f>IF(ISERROR(CL79),0,CL79)</f>
        <v>0</v>
      </c>
      <c r="CN79" s="196"/>
    </row>
    <row r="80" spans="13:92" ht="16.5" customHeight="1" x14ac:dyDescent="0.25">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6"/>
      <c r="AY80" s="196"/>
      <c r="AZ80" s="196"/>
      <c r="BA80" s="196"/>
      <c r="BB80" s="196"/>
      <c r="BC80" s="196"/>
      <c r="BD80" s="196"/>
      <c r="BE80" s="196"/>
      <c r="BF80" s="196"/>
      <c r="BG80" s="196"/>
      <c r="BH80" s="196"/>
      <c r="BI80" s="196"/>
      <c r="BJ80" s="196"/>
      <c r="BK80" s="196"/>
      <c r="BL80" s="196"/>
      <c r="BM80" s="196"/>
      <c r="BN80" s="196"/>
      <c r="BO80" s="196"/>
      <c r="BP80" s="196"/>
      <c r="BQ80" s="196"/>
      <c r="BR80" s="196"/>
      <c r="BS80" s="196"/>
      <c r="BT80" s="196"/>
      <c r="BU80" s="196"/>
      <c r="BV80" s="196"/>
      <c r="BW80" s="196"/>
      <c r="BX80" s="196"/>
      <c r="BY80" s="196"/>
      <c r="BZ80" s="196"/>
      <c r="CA80" s="196"/>
      <c r="CB80" s="196"/>
      <c r="CC80" s="196"/>
      <c r="CD80" s="196"/>
      <c r="CE80" s="196"/>
      <c r="CF80" s="196"/>
      <c r="CG80" s="196"/>
      <c r="CH80" s="196"/>
      <c r="CI80" s="196"/>
      <c r="CJ80" s="196"/>
      <c r="CK80" s="92"/>
      <c r="CL80" s="93"/>
      <c r="CM80" s="93"/>
      <c r="CN80" s="91"/>
    </row>
    <row r="81" spans="24:92" ht="15.75" customHeight="1" x14ac:dyDescent="0.25">
      <c r="Y81" s="196" t="s">
        <v>168</v>
      </c>
      <c r="Z81" s="197" t="e">
        <f>IF(AND(Y75=2,AA74&gt;1),2,0)</f>
        <v>#N/A</v>
      </c>
      <c r="AA81" s="153">
        <f>IF(ISERROR(Z81),0,Z81)</f>
        <v>0</v>
      </c>
      <c r="AB81" s="196"/>
      <c r="AC81" s="196" t="s">
        <v>168</v>
      </c>
      <c r="AD81" s="197" t="e">
        <f>IF(AND(AC75=2,AE74&gt;1),2,0)</f>
        <v>#N/A</v>
      </c>
      <c r="AE81" s="153">
        <f>IF(ISERROR(AD81),0,AD81)</f>
        <v>0</v>
      </c>
      <c r="AF81" s="196"/>
      <c r="AG81" s="196" t="s">
        <v>168</v>
      </c>
      <c r="AH81" s="197" t="e">
        <f>IF(AND(AG75=2,AI74&gt;1),2,0)</f>
        <v>#N/A</v>
      </c>
      <c r="AI81" s="153">
        <f>IF(ISERROR(AH81),0,AH81)</f>
        <v>0</v>
      </c>
      <c r="AJ81" s="196"/>
      <c r="AK81" s="196" t="s">
        <v>168</v>
      </c>
      <c r="AL81" s="197" t="e">
        <f>IF(AND(AK75=2,AM74&gt;1),2,0)</f>
        <v>#N/A</v>
      </c>
      <c r="AM81" s="153">
        <f>IF(ISERROR(AL81),0,AL81)</f>
        <v>0</v>
      </c>
      <c r="AN81" s="196"/>
      <c r="AO81" s="196" t="s">
        <v>168</v>
      </c>
      <c r="AP81" s="197" t="e">
        <f>IF(AND(AO75=2,AQ74&gt;1),2,0)</f>
        <v>#N/A</v>
      </c>
      <c r="AQ81" s="153">
        <f>IF(ISERROR(AP81),0,AP81)</f>
        <v>0</v>
      </c>
      <c r="AR81" s="196"/>
      <c r="AS81" s="196" t="s">
        <v>168</v>
      </c>
      <c r="AT81" s="197" t="e">
        <f>IF(AND(AS75=2,AU74&gt;1),2,0)</f>
        <v>#N/A</v>
      </c>
      <c r="AU81" s="153">
        <f>IF(ISERROR(AT81),0,AT81)</f>
        <v>0</v>
      </c>
      <c r="AV81" s="196"/>
      <c r="AW81" s="196" t="s">
        <v>168</v>
      </c>
      <c r="AX81" s="197" t="e">
        <f>IF(AND(AW75=2,AY74&gt;1),2,0)</f>
        <v>#N/A</v>
      </c>
      <c r="AY81" s="153">
        <f>IF(ISERROR(AX81),0,AX81)</f>
        <v>0</v>
      </c>
      <c r="AZ81" s="196"/>
      <c r="BA81" s="196" t="s">
        <v>168</v>
      </c>
      <c r="BB81" s="197" t="e">
        <f>IF(AND(BA75=2,BC74&gt;1),2,0)</f>
        <v>#N/A</v>
      </c>
      <c r="BC81" s="153">
        <f>IF(ISERROR(BB81),0,BB81)</f>
        <v>0</v>
      </c>
      <c r="BD81" s="196"/>
      <c r="BE81" s="196" t="s">
        <v>168</v>
      </c>
      <c r="BF81" s="197" t="e">
        <f>IF(AND(BE75=2,BG74&gt;1),2,0)</f>
        <v>#N/A</v>
      </c>
      <c r="BG81" s="153">
        <f>IF(ISERROR(BF81),0,BF81)</f>
        <v>0</v>
      </c>
      <c r="BH81" s="196"/>
      <c r="BI81" s="196" t="s">
        <v>168</v>
      </c>
      <c r="BJ81" s="197" t="e">
        <f>IF(AND(BI75=2,BK74&gt;1),2,0)</f>
        <v>#N/A</v>
      </c>
      <c r="BK81" s="153">
        <f>IF(ISERROR(BJ81),0,BJ81)</f>
        <v>0</v>
      </c>
      <c r="BL81" s="196"/>
      <c r="BM81" s="196" t="s">
        <v>168</v>
      </c>
      <c r="BN81" s="197" t="e">
        <f>IF(AND(BM75=2,BO74&gt;1),2,0)</f>
        <v>#N/A</v>
      </c>
      <c r="BO81" s="153">
        <f>IF(ISERROR(BN81),0,BN81)</f>
        <v>0</v>
      </c>
      <c r="BP81" s="196"/>
      <c r="BQ81" s="196" t="s">
        <v>168</v>
      </c>
      <c r="BR81" s="197" t="e">
        <f>IF(AND(BQ75=2,BS74&gt;1),2,0)</f>
        <v>#N/A</v>
      </c>
      <c r="BS81" s="153">
        <f>IF(ISERROR(BR81),0,BR81)</f>
        <v>0</v>
      </c>
      <c r="BT81" s="196"/>
      <c r="BU81" s="196" t="s">
        <v>168</v>
      </c>
      <c r="BV81" s="197" t="e">
        <f>IF(AND(BU75=2,BW74&gt;1),2,0)</f>
        <v>#N/A</v>
      </c>
      <c r="BW81" s="153">
        <f>IF(ISERROR(BV81),0,BV81)</f>
        <v>0</v>
      </c>
      <c r="BX81" s="196"/>
      <c r="BY81" s="196" t="s">
        <v>168</v>
      </c>
      <c r="BZ81" s="197" t="e">
        <f>IF(AND(BY75=2,CA74&gt;1),2,0)</f>
        <v>#N/A</v>
      </c>
      <c r="CA81" s="153">
        <f>IF(ISERROR(BZ81),0,BZ81)</f>
        <v>0</v>
      </c>
      <c r="CB81" s="196"/>
      <c r="CC81" s="196" t="s">
        <v>168</v>
      </c>
      <c r="CD81" s="197" t="e">
        <f>IF(AND(CC75=2,CE74&gt;1),2,0)</f>
        <v>#N/A</v>
      </c>
      <c r="CE81" s="153">
        <f>IF(ISERROR(CD81),0,CD81)</f>
        <v>0</v>
      </c>
      <c r="CF81" s="196"/>
      <c r="CG81" s="196" t="s">
        <v>168</v>
      </c>
      <c r="CH81" s="197" t="e">
        <f>IF(AND(CG75=2,CI74&gt;1),2,0)</f>
        <v>#N/A</v>
      </c>
      <c r="CI81" s="153">
        <f>IF(ISERROR(CH81),0,CH81)</f>
        <v>0</v>
      </c>
      <c r="CJ81" s="196"/>
      <c r="CK81" s="142"/>
      <c r="CL81" s="93"/>
      <c r="CM81" s="93"/>
      <c r="CN81" s="91"/>
    </row>
    <row r="82" spans="24:92" ht="15.75" customHeight="1" x14ac:dyDescent="0.25">
      <c r="AC82" s="92"/>
      <c r="AD82" s="93"/>
      <c r="AE82" s="93"/>
      <c r="AF82" s="91"/>
      <c r="AG82" s="92"/>
      <c r="AH82" s="93"/>
      <c r="AI82" s="93"/>
      <c r="AJ82" s="91"/>
      <c r="AK82" s="92"/>
      <c r="AL82" s="93"/>
      <c r="AM82" s="93"/>
      <c r="AN82" s="91"/>
      <c r="AO82" s="92"/>
      <c r="AP82" s="93"/>
      <c r="AQ82" s="93"/>
      <c r="AR82" s="91"/>
      <c r="AS82" s="92"/>
      <c r="AT82" s="93"/>
      <c r="AU82" s="93"/>
      <c r="AV82" s="91"/>
      <c r="AW82" s="92"/>
      <c r="AX82" s="93"/>
      <c r="AY82" s="93"/>
      <c r="AZ82" s="91"/>
      <c r="BA82" s="92"/>
      <c r="BB82" s="93"/>
      <c r="BC82" s="93"/>
      <c r="BD82" s="91"/>
      <c r="BE82" s="92"/>
      <c r="BF82" s="93"/>
      <c r="BG82" s="93"/>
      <c r="BH82" s="91"/>
      <c r="BI82" s="92"/>
      <c r="BJ82" s="93"/>
      <c r="BK82" s="93"/>
      <c r="BL82" s="91"/>
      <c r="BM82" s="92"/>
      <c r="BN82" s="93"/>
      <c r="BO82" s="93"/>
      <c r="BP82" s="91"/>
      <c r="BQ82" s="92"/>
      <c r="BR82" s="93"/>
      <c r="BS82" s="93"/>
      <c r="BT82" s="91"/>
      <c r="BU82" s="92"/>
      <c r="BV82" s="93"/>
      <c r="BW82" s="93"/>
      <c r="BX82" s="91"/>
      <c r="BY82" s="92"/>
      <c r="BZ82" s="93"/>
      <c r="CA82" s="93"/>
      <c r="CB82" s="91"/>
      <c r="CC82" s="92"/>
      <c r="CD82" s="93"/>
      <c r="CE82" s="93"/>
      <c r="CF82" s="91"/>
      <c r="CG82" s="92"/>
      <c r="CH82" s="93"/>
      <c r="CI82" s="93"/>
      <c r="CJ82" s="91"/>
      <c r="CK82" s="92"/>
      <c r="CL82" s="93"/>
      <c r="CM82" s="93"/>
      <c r="CN82" s="91"/>
    </row>
    <row r="83" spans="24:92" ht="16.5" customHeight="1" x14ac:dyDescent="0.25">
      <c r="AC83" s="142"/>
      <c r="AD83" s="93"/>
      <c r="AE83" s="93"/>
      <c r="AF83" s="91"/>
      <c r="AG83" s="142"/>
      <c r="AH83" s="93"/>
      <c r="AI83" s="93"/>
      <c r="AJ83" s="91"/>
      <c r="AK83" s="142"/>
      <c r="AL83" s="93"/>
      <c r="AM83" s="93"/>
      <c r="AN83" s="91"/>
      <c r="AO83" s="142"/>
      <c r="AP83" s="93"/>
      <c r="AQ83" s="93"/>
      <c r="AR83" s="91"/>
      <c r="AS83" s="142"/>
      <c r="AT83" s="93"/>
      <c r="AU83" s="93"/>
      <c r="AV83" s="91"/>
      <c r="AW83" s="142"/>
      <c r="AX83" s="93"/>
      <c r="AY83" s="93"/>
      <c r="AZ83" s="91"/>
      <c r="BA83" s="142"/>
      <c r="BB83" s="93"/>
      <c r="BC83" s="93"/>
      <c r="BD83" s="91"/>
      <c r="BE83" s="142"/>
      <c r="BF83" s="93"/>
      <c r="BG83" s="93"/>
      <c r="BH83" s="91"/>
      <c r="BI83" s="142"/>
      <c r="BJ83" s="93"/>
      <c r="BK83" s="93"/>
      <c r="BL83" s="91"/>
      <c r="BM83" s="142"/>
      <c r="BN83" s="93"/>
      <c r="BO83" s="93"/>
      <c r="BP83" s="91"/>
      <c r="BQ83" s="142"/>
      <c r="BR83" s="93"/>
      <c r="BS83" s="93"/>
      <c r="BT83" s="91"/>
      <c r="BU83" s="142"/>
      <c r="BV83" s="93"/>
      <c r="BW83" s="93"/>
      <c r="BX83" s="91"/>
      <c r="BY83" s="142"/>
      <c r="BZ83" s="93"/>
      <c r="CA83" s="93"/>
      <c r="CB83" s="91"/>
      <c r="CC83" s="142"/>
      <c r="CD83" s="93"/>
      <c r="CE83" s="93"/>
      <c r="CF83" s="91"/>
      <c r="CG83" s="142"/>
      <c r="CH83" s="93"/>
      <c r="CI83" s="93"/>
      <c r="CJ83" s="91"/>
      <c r="CK83" s="156" t="e">
        <f>VLOOKUP(CL$2,$L$23:$T$32,3,FALSE)</f>
        <v>#N/A</v>
      </c>
      <c r="CL83" s="157"/>
      <c r="CM83" s="157">
        <f>IF(ISERROR(CK83),0,CK83)</f>
        <v>0</v>
      </c>
      <c r="CN83" s="158">
        <f>CN84*CM83</f>
        <v>0</v>
      </c>
    </row>
    <row r="84" spans="24:92" ht="15.75" customHeight="1" x14ac:dyDescent="0.25">
      <c r="AC84" s="92"/>
      <c r="AD84" s="93"/>
      <c r="AE84" s="93"/>
      <c r="AF84" s="91"/>
      <c r="AG84" s="92"/>
      <c r="AH84" s="93"/>
      <c r="AI84" s="93"/>
      <c r="AJ84" s="91"/>
      <c r="AK84" s="92"/>
      <c r="AL84" s="93"/>
      <c r="AM84" s="93"/>
      <c r="AN84" s="91"/>
      <c r="AO84" s="92"/>
      <c r="AP84" s="93"/>
      <c r="AQ84" s="93"/>
      <c r="AR84" s="91"/>
      <c r="AS84" s="92"/>
      <c r="AT84" s="93"/>
      <c r="AU84" s="93"/>
      <c r="AV84" s="91"/>
      <c r="AW84" s="92"/>
      <c r="AX84" s="93"/>
      <c r="AY84" s="93"/>
      <c r="AZ84" s="91"/>
      <c r="BA84" s="92"/>
      <c r="BB84" s="93"/>
      <c r="BC84" s="93"/>
      <c r="BD84" s="91"/>
      <c r="BE84" s="92"/>
      <c r="BF84" s="93"/>
      <c r="BG84" s="93"/>
      <c r="BH84" s="91"/>
      <c r="BI84" s="92"/>
      <c r="BJ84" s="93"/>
      <c r="BK84" s="93"/>
      <c r="BL84" s="91"/>
      <c r="BM84" s="92"/>
      <c r="BN84" s="93"/>
      <c r="BO84" s="93"/>
      <c r="BP84" s="91"/>
      <c r="BQ84" s="92"/>
      <c r="BR84" s="93"/>
      <c r="BS84" s="93"/>
      <c r="BT84" s="91"/>
      <c r="BU84" s="92"/>
      <c r="BV84" s="93"/>
      <c r="BW84" s="93"/>
      <c r="BX84" s="91"/>
      <c r="BY84" s="92"/>
      <c r="BZ84" s="93"/>
      <c r="CA84" s="93"/>
      <c r="CB84" s="91"/>
      <c r="CC84" s="92"/>
      <c r="CD84" s="93"/>
      <c r="CE84" s="93"/>
      <c r="CF84" s="91"/>
      <c r="CG84" s="92"/>
      <c r="CH84" s="93"/>
      <c r="CI84" s="93"/>
      <c r="CJ84" s="91"/>
      <c r="CK84" s="156" t="e">
        <f>VLOOKUP(CL$2,$L$23:$T$32,7,FALSE)</f>
        <v>#N/A</v>
      </c>
      <c r="CL84" s="157"/>
      <c r="CM84" s="157">
        <f>IF(ISERROR(CK84),0,CK84)</f>
        <v>0</v>
      </c>
      <c r="CN84" s="158">
        <f>IF(CM84="*",Lieu,1)</f>
        <v>1</v>
      </c>
    </row>
    <row r="85" spans="24:92" ht="17.25" customHeight="1" x14ac:dyDescent="0.25">
      <c r="X85" s="91" t="s">
        <v>169</v>
      </c>
      <c r="Y85" s="156" t="e">
        <f>VLOOKUP(Z$2,$M$23:$V$24,3,FALSE)</f>
        <v>#N/A</v>
      </c>
      <c r="Z85" s="157"/>
      <c r="AA85" s="157">
        <f>IF(ISERROR(Y85),0,Y85)</f>
        <v>0</v>
      </c>
      <c r="AB85" s="158">
        <f>AB86*AA85</f>
        <v>0</v>
      </c>
      <c r="AC85" s="156" t="e">
        <f>VLOOKUP(AD$2,$M$23:$V$24,3,FALSE)</f>
        <v>#N/A</v>
      </c>
      <c r="AD85" s="157"/>
      <c r="AE85" s="157">
        <f>IF(ISERROR(AC85),0,AC85)</f>
        <v>0</v>
      </c>
      <c r="AF85" s="158">
        <f>AF86*AE85</f>
        <v>0</v>
      </c>
      <c r="AG85" s="156" t="e">
        <f>VLOOKUP(AH$2,$M$23:$V$24,3,FALSE)</f>
        <v>#N/A</v>
      </c>
      <c r="AH85" s="157"/>
      <c r="AI85" s="157">
        <f>IF(ISERROR(AG85),0,AG85)</f>
        <v>0</v>
      </c>
      <c r="AJ85" s="158">
        <f>AJ86*AI85</f>
        <v>0</v>
      </c>
      <c r="AK85" s="156" t="e">
        <f>VLOOKUP(AL$2,$M$23:$V$24,3,FALSE)</f>
        <v>#N/A</v>
      </c>
      <c r="AL85" s="157"/>
      <c r="AM85" s="157">
        <f>IF(ISERROR(AK85),0,AK85)</f>
        <v>0</v>
      </c>
      <c r="AN85" s="158">
        <f>AN86*AM85</f>
        <v>0</v>
      </c>
      <c r="AO85" s="156" t="e">
        <f>VLOOKUP(AP$2,$M$23:$V$24,3,FALSE)</f>
        <v>#N/A</v>
      </c>
      <c r="AP85" s="157"/>
      <c r="AQ85" s="157">
        <f>IF(ISERROR(AO85),0,AO85)</f>
        <v>0</v>
      </c>
      <c r="AR85" s="158">
        <f>AR86*AQ85</f>
        <v>0</v>
      </c>
      <c r="AS85" s="156" t="e">
        <f>VLOOKUP(AT$2,$M$23:$V$24,3,FALSE)</f>
        <v>#N/A</v>
      </c>
      <c r="AT85" s="157"/>
      <c r="AU85" s="157">
        <f>IF(ISERROR(AS85),0,AS85)</f>
        <v>0</v>
      </c>
      <c r="AV85" s="158">
        <f>AV86*AU85</f>
        <v>0</v>
      </c>
      <c r="AW85" s="156" t="e">
        <f>VLOOKUP(AX$2,$M$23:$V$24,3,FALSE)</f>
        <v>#N/A</v>
      </c>
      <c r="AX85" s="157"/>
      <c r="AY85" s="157">
        <f>IF(ISERROR(AW85),0,AW85)</f>
        <v>0</v>
      </c>
      <c r="AZ85" s="158">
        <f>AZ86*AY85</f>
        <v>0</v>
      </c>
      <c r="BA85" s="156" t="e">
        <f>VLOOKUP(BB$2,$M$23:$V$24,3,FALSE)</f>
        <v>#N/A</v>
      </c>
      <c r="BB85" s="157"/>
      <c r="BC85" s="157">
        <f>IF(ISERROR(BA85),0,BA85)</f>
        <v>0</v>
      </c>
      <c r="BD85" s="158">
        <f>BD86*BC85</f>
        <v>0</v>
      </c>
      <c r="BE85" s="156" t="e">
        <f>VLOOKUP(BF$2,$L$23:$T$32,3,FALSE)</f>
        <v>#N/A</v>
      </c>
      <c r="BF85" s="157"/>
      <c r="BG85" s="157">
        <f>IF(ISERROR(BE85),0,BE85)</f>
        <v>0</v>
      </c>
      <c r="BH85" s="158">
        <f>BH86*BG85</f>
        <v>0</v>
      </c>
      <c r="BI85" s="156" t="e">
        <f>VLOOKUP(BJ$2,$L$23:$T$32,3,FALSE)</f>
        <v>#N/A</v>
      </c>
      <c r="BJ85" s="157"/>
      <c r="BK85" s="157">
        <f>IF(ISERROR(BI85),0,BI85)</f>
        <v>0</v>
      </c>
      <c r="BL85" s="158">
        <f>BL86*BK85</f>
        <v>0</v>
      </c>
      <c r="BM85" s="156" t="e">
        <f>VLOOKUP(BN$2,$L$23:$T$32,3,FALSE)</f>
        <v>#N/A</v>
      </c>
      <c r="BN85" s="157"/>
      <c r="BO85" s="157">
        <f>IF(ISERROR(BM85),0,BM85)</f>
        <v>0</v>
      </c>
      <c r="BP85" s="158">
        <f>BP86*BO85</f>
        <v>0</v>
      </c>
      <c r="BQ85" s="156" t="e">
        <f>VLOOKUP(BR$2,$L$23:$T$32,3,FALSE)</f>
        <v>#N/A</v>
      </c>
      <c r="BR85" s="157"/>
      <c r="BS85" s="157">
        <f>IF(ISERROR(BQ85),0,BQ85)</f>
        <v>0</v>
      </c>
      <c r="BT85" s="158">
        <f>BT86*BS85</f>
        <v>0</v>
      </c>
      <c r="BU85" s="156" t="e">
        <f>VLOOKUP(BV$2,$L$23:$T$32,3,FALSE)</f>
        <v>#N/A</v>
      </c>
      <c r="BV85" s="157"/>
      <c r="BW85" s="157">
        <f>IF(ISERROR(BU85),0,BU85)</f>
        <v>0</v>
      </c>
      <c r="BX85" s="158">
        <f>BX86*BW85</f>
        <v>0</v>
      </c>
      <c r="BY85" s="156" t="e">
        <f>VLOOKUP(BZ$2,$L$23:$T$32,3,FALSE)</f>
        <v>#N/A</v>
      </c>
      <c r="BZ85" s="157"/>
      <c r="CA85" s="157">
        <f>IF(ISERROR(BY85),0,BY85)</f>
        <v>0</v>
      </c>
      <c r="CB85" s="158">
        <f>CB86*CA85</f>
        <v>0</v>
      </c>
      <c r="CC85" s="156" t="e">
        <f>VLOOKUP(CD$2,$L$23:$T$32,3,FALSE)</f>
        <v>#N/A</v>
      </c>
      <c r="CD85" s="157"/>
      <c r="CE85" s="157">
        <f>IF(ISERROR(CC85),0,CC85)</f>
        <v>0</v>
      </c>
      <c r="CF85" s="158">
        <f>CF86*CE85</f>
        <v>0</v>
      </c>
      <c r="CG85" s="156" t="e">
        <f>VLOOKUP(CH$2,$L$23:$T$32,3,FALSE)</f>
        <v>#N/A</v>
      </c>
      <c r="CH85" s="157"/>
      <c r="CI85" s="157">
        <f>IF(ISERROR(CG85),0,CG85)</f>
        <v>0</v>
      </c>
      <c r="CJ85" s="158">
        <f>CJ86*CI85</f>
        <v>0</v>
      </c>
      <c r="CK85" s="156"/>
      <c r="CL85" s="157"/>
      <c r="CM85" s="159">
        <f>CN83</f>
        <v>0</v>
      </c>
      <c r="CN85" s="158"/>
    </row>
    <row r="86" spans="24:92" x14ac:dyDescent="0.25">
      <c r="X86" s="91"/>
      <c r="Y86" s="156"/>
      <c r="Z86" s="157"/>
      <c r="AA86" s="160">
        <f>IF(ISERROR(Y86),0,Y86)</f>
        <v>0</v>
      </c>
      <c r="AB86" s="158">
        <f>IF(AA86="*",Lieu,1)</f>
        <v>1</v>
      </c>
      <c r="AC86" s="156"/>
      <c r="AD86" s="157"/>
      <c r="AE86" s="157">
        <f>IF(ISERROR(AC86),0,AC86)</f>
        <v>0</v>
      </c>
      <c r="AF86" s="158">
        <f>IF(AE86="*",Lieu,1)</f>
        <v>1</v>
      </c>
      <c r="AG86" s="156"/>
      <c r="AH86" s="157"/>
      <c r="AI86" s="157">
        <f>IF(ISERROR(AG86),0,AG86)</f>
        <v>0</v>
      </c>
      <c r="AJ86" s="158">
        <f>IF(AI86="*",Lieu,1)</f>
        <v>1</v>
      </c>
      <c r="AK86" s="156"/>
      <c r="AL86" s="157"/>
      <c r="AM86" s="157">
        <f>IF(ISERROR(AK86),0,AK86)</f>
        <v>0</v>
      </c>
      <c r="AN86" s="158">
        <f>IF(AM86="*",Lieu,1)</f>
        <v>1</v>
      </c>
      <c r="AO86" s="156"/>
      <c r="AP86" s="157"/>
      <c r="AQ86" s="157">
        <f>IF(ISERROR(AO86),0,AO86)</f>
        <v>0</v>
      </c>
      <c r="AR86" s="158">
        <f>IF(AQ86="*",Lieu,1)</f>
        <v>1</v>
      </c>
      <c r="AS86" s="156"/>
      <c r="AT86" s="157"/>
      <c r="AU86" s="157">
        <f>IF(ISERROR(AS86),0,AS86)</f>
        <v>0</v>
      </c>
      <c r="AV86" s="158">
        <f>IF(AU86="*",Lieu,1)</f>
        <v>1</v>
      </c>
      <c r="AW86" s="156"/>
      <c r="AX86" s="157"/>
      <c r="AY86" s="157">
        <f>IF(ISERROR(AW86),0,AW86)</f>
        <v>0</v>
      </c>
      <c r="AZ86" s="158">
        <f>IF(AY86="*",Lieu,1)</f>
        <v>1</v>
      </c>
      <c r="BA86" s="156"/>
      <c r="BB86" s="157"/>
      <c r="BC86" s="157">
        <f>IF(ISERROR(BA86),0,BA86)</f>
        <v>0</v>
      </c>
      <c r="BD86" s="158">
        <f>IF(BC86="*",Lieu,1)</f>
        <v>1</v>
      </c>
      <c r="BE86" s="156" t="e">
        <f>VLOOKUP(BF$2,$L$23:$T$32,7,FALSE)</f>
        <v>#N/A</v>
      </c>
      <c r="BF86" s="157"/>
      <c r="BG86" s="157">
        <f>IF(ISERROR(BE86),0,BE86)</f>
        <v>0</v>
      </c>
      <c r="BH86" s="158">
        <f>IF(BG86="*",Lieu,1)</f>
        <v>1</v>
      </c>
      <c r="BI86" s="156" t="e">
        <f>VLOOKUP(BJ$2,$L$23:$T$32,7,FALSE)</f>
        <v>#N/A</v>
      </c>
      <c r="BJ86" s="157"/>
      <c r="BK86" s="157">
        <f>IF(ISERROR(BI86),0,BI86)</f>
        <v>0</v>
      </c>
      <c r="BL86" s="158">
        <f>IF(BK86="*",Lieu,1)</f>
        <v>1</v>
      </c>
      <c r="BM86" s="156" t="e">
        <f>VLOOKUP(BN$2,$L$23:$T$32,7,FALSE)</f>
        <v>#N/A</v>
      </c>
      <c r="BN86" s="157"/>
      <c r="BO86" s="157">
        <f>IF(ISERROR(BM86),0,BM86)</f>
        <v>0</v>
      </c>
      <c r="BP86" s="158">
        <f>IF(BO86="*",Lieu,1)</f>
        <v>1</v>
      </c>
      <c r="BQ86" s="156" t="e">
        <f>VLOOKUP(BR$2,$L$23:$T$32,7,FALSE)</f>
        <v>#N/A</v>
      </c>
      <c r="BR86" s="157"/>
      <c r="BS86" s="157">
        <f>IF(ISERROR(BQ86),0,BQ86)</f>
        <v>0</v>
      </c>
      <c r="BT86" s="158">
        <f>IF(BS86="*",Lieu,1)</f>
        <v>1</v>
      </c>
      <c r="BU86" s="156" t="e">
        <f>VLOOKUP(BV$2,$L$23:$T$32,7,FALSE)</f>
        <v>#N/A</v>
      </c>
      <c r="BV86" s="157"/>
      <c r="BW86" s="157">
        <f>IF(ISERROR(BU86),0,BU86)</f>
        <v>0</v>
      </c>
      <c r="BX86" s="158">
        <f>IF(BW86="*",Lieu,1)</f>
        <v>1</v>
      </c>
      <c r="BY86" s="156" t="e">
        <f>VLOOKUP(BZ$2,$L$23:$T$32,7,FALSE)</f>
        <v>#N/A</v>
      </c>
      <c r="BZ86" s="157"/>
      <c r="CA86" s="157">
        <f>IF(ISERROR(BY86),0,BY86)</f>
        <v>0</v>
      </c>
      <c r="CB86" s="158">
        <f>IF(CA86="*",Lieu,1)</f>
        <v>1</v>
      </c>
      <c r="CC86" s="156" t="e">
        <f>VLOOKUP(CD$2,$L$23:$T$32,7,FALSE)</f>
        <v>#N/A</v>
      </c>
      <c r="CD86" s="157"/>
      <c r="CE86" s="157">
        <f>IF(ISERROR(CC86),0,CC86)</f>
        <v>0</v>
      </c>
      <c r="CF86" s="158">
        <f>IF(CE86="*",Lieu,1)</f>
        <v>1</v>
      </c>
      <c r="CG86" s="156" t="e">
        <f>VLOOKUP(CH$2,$L$23:$T$32,7,FALSE)</f>
        <v>#N/A</v>
      </c>
      <c r="CH86" s="157"/>
      <c r="CI86" s="157">
        <f>IF(ISERROR(CG86),0,CG86)</f>
        <v>0</v>
      </c>
      <c r="CJ86" s="158">
        <f>IF(CI86="*",Lieu,1)</f>
        <v>1</v>
      </c>
      <c r="CK86" s="156" t="e">
        <f>VLOOKUP(CL$2,$L$23:$T$32,4,FALSE)</f>
        <v>#N/A</v>
      </c>
      <c r="CL86" s="157"/>
      <c r="CM86" s="157">
        <f>IF(ISERROR(CK86),0,CK86)</f>
        <v>0</v>
      </c>
      <c r="CN86" s="158">
        <f>IF(ISERROR(CL86),0,CL86)</f>
        <v>0</v>
      </c>
    </row>
    <row r="87" spans="24:92" ht="15.75" x14ac:dyDescent="0.25">
      <c r="X87" s="91"/>
      <c r="Y87" s="156"/>
      <c r="Z87" s="157"/>
      <c r="AA87" s="161">
        <f>AB85</f>
        <v>0</v>
      </c>
      <c r="AB87" s="158"/>
      <c r="AC87" s="156"/>
      <c r="AD87" s="157"/>
      <c r="AE87" s="159">
        <f>AF85</f>
        <v>0</v>
      </c>
      <c r="AF87" s="158"/>
      <c r="AG87" s="156"/>
      <c r="AH87" s="157"/>
      <c r="AI87" s="159">
        <f>AJ85</f>
        <v>0</v>
      </c>
      <c r="AJ87" s="158"/>
      <c r="AK87" s="156"/>
      <c r="AL87" s="157"/>
      <c r="AM87" s="159">
        <f>AN85</f>
        <v>0</v>
      </c>
      <c r="AN87" s="158"/>
      <c r="AO87" s="156"/>
      <c r="AP87" s="157"/>
      <c r="AQ87" s="159">
        <f>AR85</f>
        <v>0</v>
      </c>
      <c r="AR87" s="158"/>
      <c r="AS87" s="156"/>
      <c r="AT87" s="157"/>
      <c r="AU87" s="159">
        <f>AV85</f>
        <v>0</v>
      </c>
      <c r="AV87" s="158"/>
      <c r="AW87" s="156"/>
      <c r="AX87" s="157"/>
      <c r="AY87" s="159">
        <f>AZ85</f>
        <v>0</v>
      </c>
      <c r="AZ87" s="158"/>
      <c r="BA87" s="156"/>
      <c r="BB87" s="157"/>
      <c r="BC87" s="159">
        <f>BD85</f>
        <v>0</v>
      </c>
      <c r="BD87" s="158"/>
      <c r="BE87" s="156"/>
      <c r="BF87" s="157"/>
      <c r="BG87" s="159">
        <f>BH85</f>
        <v>0</v>
      </c>
      <c r="BH87" s="158"/>
      <c r="BI87" s="156"/>
      <c r="BJ87" s="157"/>
      <c r="BK87" s="159">
        <f>BL85</f>
        <v>0</v>
      </c>
      <c r="BL87" s="158"/>
      <c r="BM87" s="156"/>
      <c r="BN87" s="157"/>
      <c r="BO87" s="159">
        <f>BP85</f>
        <v>0</v>
      </c>
      <c r="BP87" s="158"/>
      <c r="BQ87" s="156"/>
      <c r="BR87" s="157"/>
      <c r="BS87" s="159">
        <f>BT85</f>
        <v>0</v>
      </c>
      <c r="BT87" s="158"/>
      <c r="BU87" s="156"/>
      <c r="BV87" s="157"/>
      <c r="BW87" s="159">
        <f>BX85</f>
        <v>0</v>
      </c>
      <c r="BX87" s="158"/>
      <c r="BY87" s="156"/>
      <c r="BZ87" s="157"/>
      <c r="CA87" s="159">
        <f>CB85</f>
        <v>0</v>
      </c>
      <c r="CB87" s="158"/>
      <c r="CC87" s="156"/>
      <c r="CD87" s="157"/>
      <c r="CE87" s="159">
        <f>CF85</f>
        <v>0</v>
      </c>
      <c r="CF87" s="158"/>
      <c r="CG87" s="156"/>
      <c r="CH87" s="157"/>
      <c r="CI87" s="159">
        <f>CJ85</f>
        <v>0</v>
      </c>
      <c r="CJ87" s="158"/>
      <c r="CK87" s="156"/>
      <c r="CL87" s="157"/>
      <c r="CM87" s="157">
        <f>CM86+CN86</f>
        <v>0</v>
      </c>
      <c r="CN87" s="158"/>
    </row>
    <row r="88" spans="24:92" ht="15.75" x14ac:dyDescent="0.25">
      <c r="X88" s="91" t="s">
        <v>170</v>
      </c>
      <c r="Y88" s="156" t="e">
        <f>VLOOKUP(Z$2,$M$23:$V$24,4,FALSE)</f>
        <v>#N/A</v>
      </c>
      <c r="Z88" s="157"/>
      <c r="AA88" s="157">
        <f>IF(ISERROR(Y88),0,Y88)</f>
        <v>0</v>
      </c>
      <c r="AB88" s="158">
        <f>IF(ISERROR(Z88),0,Z88)</f>
        <v>0</v>
      </c>
      <c r="AC88" s="156" t="e">
        <f>VLOOKUP(AD$2,$M$23:$V$24,4,FALSE)</f>
        <v>#N/A</v>
      </c>
      <c r="AD88" s="157"/>
      <c r="AE88" s="157">
        <f>IF(ISERROR(AC88),0,AC88)</f>
        <v>0</v>
      </c>
      <c r="AF88" s="158">
        <f>IF(ISERROR(AD88),0,AD88)</f>
        <v>0</v>
      </c>
      <c r="AG88" s="156" t="e">
        <f>VLOOKUP(AH$2,$M$23:$V$24,4,FALSE)</f>
        <v>#N/A</v>
      </c>
      <c r="AH88" s="157"/>
      <c r="AI88" s="157">
        <f>IF(ISERROR(AG88),0,AG88)</f>
        <v>0</v>
      </c>
      <c r="AJ88" s="158">
        <f>IF(ISERROR(AH88),0,AH88)</f>
        <v>0</v>
      </c>
      <c r="AK88" s="156" t="e">
        <f>VLOOKUP(AL$2,$M$23:$V$24,4,FALSE)</f>
        <v>#N/A</v>
      </c>
      <c r="AL88" s="157"/>
      <c r="AM88" s="157">
        <f>IF(ISERROR(AK88),0,AK88)</f>
        <v>0</v>
      </c>
      <c r="AN88" s="158">
        <f>IF(ISERROR(AL88),0,AL88)</f>
        <v>0</v>
      </c>
      <c r="AO88" s="156" t="e">
        <f>VLOOKUP(AP$2,$M$23:$V$24,4,FALSE)</f>
        <v>#N/A</v>
      </c>
      <c r="AP88" s="157"/>
      <c r="AQ88" s="157">
        <f>IF(ISERROR(AO88),0,AO88)</f>
        <v>0</v>
      </c>
      <c r="AR88" s="158">
        <f>IF(ISERROR(AP88),0,AP88)</f>
        <v>0</v>
      </c>
      <c r="AS88" s="156" t="e">
        <f>VLOOKUP(AT$2,$M$23:$V$24,4,FALSE)</f>
        <v>#N/A</v>
      </c>
      <c r="AT88" s="157"/>
      <c r="AU88" s="157">
        <f>IF(ISERROR(AS88),0,AS88)</f>
        <v>0</v>
      </c>
      <c r="AV88" s="158">
        <f>IF(ISERROR(AT88),0,AT88)</f>
        <v>0</v>
      </c>
      <c r="AW88" s="156" t="e">
        <f>VLOOKUP(AX$2,$M$23:$V$24,4,FALSE)</f>
        <v>#N/A</v>
      </c>
      <c r="AX88" s="157"/>
      <c r="AY88" s="157">
        <f>IF(ISERROR(AW88),0,AW88)</f>
        <v>0</v>
      </c>
      <c r="AZ88" s="158">
        <f>IF(ISERROR(AX88),0,AX88)</f>
        <v>0</v>
      </c>
      <c r="BA88" s="156" t="e">
        <f>VLOOKUP(BB$2,$M$23:$V$24,4,FALSE)</f>
        <v>#N/A</v>
      </c>
      <c r="BB88" s="157"/>
      <c r="BC88" s="157">
        <f>IF(ISERROR(BA88),0,BA88)</f>
        <v>0</v>
      </c>
      <c r="BD88" s="158">
        <f>IF(ISERROR(BB88),0,BB88)</f>
        <v>0</v>
      </c>
      <c r="BE88" s="156" t="e">
        <f>VLOOKUP(BF$2,$L$23:$T$32,4,FALSE)</f>
        <v>#N/A</v>
      </c>
      <c r="BF88" s="157"/>
      <c r="BG88" s="157">
        <f>IF(ISERROR(BE88),0,BE88)</f>
        <v>0</v>
      </c>
      <c r="BH88" s="158">
        <f>IF(ISERROR(BF88),0,BF88)</f>
        <v>0</v>
      </c>
      <c r="BI88" s="156" t="e">
        <f>VLOOKUP(BJ$2,$L$23:$T$32,4,FALSE)</f>
        <v>#N/A</v>
      </c>
      <c r="BJ88" s="157"/>
      <c r="BK88" s="157">
        <f>IF(ISERROR(BI88),0,BI88)</f>
        <v>0</v>
      </c>
      <c r="BL88" s="158">
        <f>IF(ISERROR(BJ88),0,BJ88)</f>
        <v>0</v>
      </c>
      <c r="BM88" s="156" t="e">
        <f>VLOOKUP(BN$2,$L$23:$T$32,4,FALSE)</f>
        <v>#N/A</v>
      </c>
      <c r="BN88" s="157"/>
      <c r="BO88" s="157">
        <f>IF(ISERROR(BM88),0,BM88)</f>
        <v>0</v>
      </c>
      <c r="BP88" s="158">
        <f>IF(ISERROR(BN88),0,BN88)</f>
        <v>0</v>
      </c>
      <c r="BQ88" s="156" t="e">
        <f>VLOOKUP(BR$2,$L$23:$T$32,4,FALSE)</f>
        <v>#N/A</v>
      </c>
      <c r="BR88" s="157"/>
      <c r="BS88" s="157">
        <f>IF(ISERROR(BQ88),0,BQ88)</f>
        <v>0</v>
      </c>
      <c r="BT88" s="158">
        <f>IF(ISERROR(BR88),0,BR88)</f>
        <v>0</v>
      </c>
      <c r="BU88" s="156" t="e">
        <f>VLOOKUP(BV$2,$L$23:$T$32,4,FALSE)</f>
        <v>#N/A</v>
      </c>
      <c r="BV88" s="157"/>
      <c r="BW88" s="157">
        <f>IF(ISERROR(BU88),0,BU88)</f>
        <v>0</v>
      </c>
      <c r="BX88" s="158">
        <f>IF(ISERROR(BV88),0,BV88)</f>
        <v>0</v>
      </c>
      <c r="BY88" s="156" t="e">
        <f>VLOOKUP(BZ$2,$L$23:$T$32,4,FALSE)</f>
        <v>#N/A</v>
      </c>
      <c r="BZ88" s="157"/>
      <c r="CA88" s="157">
        <f>IF(ISERROR(BY88),0,BY88)</f>
        <v>0</v>
      </c>
      <c r="CB88" s="158">
        <f>IF(ISERROR(BZ88),0,BZ88)</f>
        <v>0</v>
      </c>
      <c r="CC88" s="156" t="e">
        <f>VLOOKUP(CD$2,$L$23:$T$32,4,FALSE)</f>
        <v>#N/A</v>
      </c>
      <c r="CD88" s="157"/>
      <c r="CE88" s="157">
        <f>IF(ISERROR(CC88),0,CC88)</f>
        <v>0</v>
      </c>
      <c r="CF88" s="158">
        <f>IF(ISERROR(CD88),0,CD88)</f>
        <v>0</v>
      </c>
      <c r="CG88" s="156" t="e">
        <f>VLOOKUP(CH$2,$L$23:$T$32,4,FALSE)</f>
        <v>#N/A</v>
      </c>
      <c r="CH88" s="157"/>
      <c r="CI88" s="157">
        <f>IF(ISERROR(CG88),0,CG88)</f>
        <v>0</v>
      </c>
      <c r="CJ88" s="158">
        <f>IF(ISERROR(CH88),0,CH88)</f>
        <v>0</v>
      </c>
      <c r="CK88" s="156" t="e">
        <f>VLOOKUP(CL$2,$L$23:$T$32,9,FALSE)</f>
        <v>#N/A</v>
      </c>
      <c r="CL88" s="157"/>
      <c r="CM88" s="159">
        <f>IF(ISERROR(CK88),0,CK88)</f>
        <v>0</v>
      </c>
      <c r="CN88" s="158">
        <f>IF(ISERROR(CL88),0,CL88)</f>
        <v>0</v>
      </c>
    </row>
    <row r="89" spans="24:92" x14ac:dyDescent="0.25">
      <c r="X89" s="91"/>
      <c r="Y89" s="156"/>
      <c r="Z89" s="157"/>
      <c r="AA89" s="157">
        <f>AA88+AB88</f>
        <v>0</v>
      </c>
      <c r="AB89" s="158"/>
      <c r="AC89" s="156"/>
      <c r="AD89" s="157"/>
      <c r="AE89" s="157">
        <f>AE88+AF88</f>
        <v>0</v>
      </c>
      <c r="AF89" s="158"/>
      <c r="AG89" s="156"/>
      <c r="AH89" s="157"/>
      <c r="AI89" s="157">
        <f>AI88+AJ88</f>
        <v>0</v>
      </c>
      <c r="AJ89" s="158"/>
      <c r="AK89" s="156"/>
      <c r="AL89" s="157"/>
      <c r="AM89" s="157">
        <f>AM88+AN88</f>
        <v>0</v>
      </c>
      <c r="AN89" s="158"/>
      <c r="AO89" s="156"/>
      <c r="AP89" s="157"/>
      <c r="AQ89" s="157">
        <f>AQ88+AR88</f>
        <v>0</v>
      </c>
      <c r="AR89" s="158"/>
      <c r="AS89" s="156"/>
      <c r="AT89" s="157"/>
      <c r="AU89" s="157">
        <f>AU88+AV88</f>
        <v>0</v>
      </c>
      <c r="AV89" s="158"/>
      <c r="AW89" s="156"/>
      <c r="AX89" s="157"/>
      <c r="AY89" s="157">
        <f>AY88+AZ88</f>
        <v>0</v>
      </c>
      <c r="AZ89" s="158"/>
      <c r="BA89" s="156"/>
      <c r="BB89" s="157"/>
      <c r="BC89" s="157">
        <f>BC88+BD88</f>
        <v>0</v>
      </c>
      <c r="BD89" s="158"/>
      <c r="BE89" s="156"/>
      <c r="BF89" s="157"/>
      <c r="BG89" s="157">
        <f>BG88+BH88</f>
        <v>0</v>
      </c>
      <c r="BH89" s="158"/>
      <c r="BI89" s="156"/>
      <c r="BJ89" s="157"/>
      <c r="BK89" s="157">
        <f>BK88+BL88</f>
        <v>0</v>
      </c>
      <c r="BL89" s="158"/>
      <c r="BM89" s="156"/>
      <c r="BN89" s="157"/>
      <c r="BO89" s="157">
        <f>BO88+BP88</f>
        <v>0</v>
      </c>
      <c r="BP89" s="158"/>
      <c r="BQ89" s="156"/>
      <c r="BR89" s="157"/>
      <c r="BS89" s="157">
        <f>BS88+BT88</f>
        <v>0</v>
      </c>
      <c r="BT89" s="158"/>
      <c r="BU89" s="156"/>
      <c r="BV89" s="157"/>
      <c r="BW89" s="157">
        <f>BW88+BX88</f>
        <v>0</v>
      </c>
      <c r="BX89" s="158"/>
      <c r="BY89" s="156"/>
      <c r="BZ89" s="157"/>
      <c r="CA89" s="157">
        <f>CA88+CB88</f>
        <v>0</v>
      </c>
      <c r="CB89" s="158"/>
      <c r="CC89" s="156"/>
      <c r="CD89" s="157"/>
      <c r="CE89" s="157">
        <f>CE88+CF88</f>
        <v>0</v>
      </c>
      <c r="CF89" s="158"/>
      <c r="CG89" s="156"/>
      <c r="CH89" s="157"/>
      <c r="CI89" s="157">
        <f>CI88+CJ88</f>
        <v>0</v>
      </c>
      <c r="CJ89" s="158"/>
      <c r="CK89" s="156"/>
      <c r="CL89" s="157"/>
      <c r="CM89" s="157"/>
      <c r="CN89" s="158"/>
    </row>
    <row r="90" spans="24:92" ht="15.75" x14ac:dyDescent="0.25">
      <c r="X90" s="91" t="s">
        <v>171</v>
      </c>
      <c r="Y90" s="156" t="e">
        <f>VLOOKUP(Z$2,$M$23:$V$24,9,FALSE)</f>
        <v>#N/A</v>
      </c>
      <c r="Z90" s="157"/>
      <c r="AA90" s="161">
        <f>IF(ISERROR(Y90),0,Y90)</f>
        <v>0</v>
      </c>
      <c r="AB90" s="158">
        <f>IF(ISERROR(Z90),0,Z90)</f>
        <v>0</v>
      </c>
      <c r="AC90" s="156" t="e">
        <f>VLOOKUP(AD$2,$M$23:$V$24,9,FALSE)</f>
        <v>#N/A</v>
      </c>
      <c r="AD90" s="157"/>
      <c r="AE90" s="159">
        <f>IF(ISERROR(AC90),0,AC90)</f>
        <v>0</v>
      </c>
      <c r="AF90" s="158">
        <f>IF(ISERROR(AD90),0,AD90)</f>
        <v>0</v>
      </c>
      <c r="AG90" s="156" t="e">
        <f>VLOOKUP(AH$2,$M$23:$V$24,9,FALSE)</f>
        <v>#N/A</v>
      </c>
      <c r="AH90" s="157"/>
      <c r="AI90" s="159">
        <f>IF(ISERROR(AG90),0,AG90)</f>
        <v>0</v>
      </c>
      <c r="AJ90" s="158">
        <f>IF(ISERROR(AH90),0,AH90)</f>
        <v>0</v>
      </c>
      <c r="AK90" s="156" t="e">
        <f>VLOOKUP(AL$2,$M$23:$V$24,9,FALSE)</f>
        <v>#N/A</v>
      </c>
      <c r="AL90" s="157"/>
      <c r="AM90" s="159">
        <f>IF(ISERROR(AK90),0,AK90)</f>
        <v>0</v>
      </c>
      <c r="AN90" s="158">
        <f>IF(ISERROR(AL90),0,AL90)</f>
        <v>0</v>
      </c>
      <c r="AO90" s="156" t="e">
        <f>VLOOKUP(AP$2,$M$23:$V$24,9,FALSE)</f>
        <v>#N/A</v>
      </c>
      <c r="AP90" s="157"/>
      <c r="AQ90" s="159">
        <f>IF(ISERROR(AO90),0,AO90)</f>
        <v>0</v>
      </c>
      <c r="AR90" s="158">
        <f>IF(ISERROR(AP90),0,AP90)</f>
        <v>0</v>
      </c>
      <c r="AS90" s="156" t="e">
        <f>VLOOKUP(AT$2,$M$23:$V$24,9,FALSE)</f>
        <v>#N/A</v>
      </c>
      <c r="AT90" s="157"/>
      <c r="AU90" s="159">
        <f>IF(ISERROR(AS90),0,AS90)</f>
        <v>0</v>
      </c>
      <c r="AV90" s="158">
        <f>IF(ISERROR(AT90),0,AT90)</f>
        <v>0</v>
      </c>
      <c r="AW90" s="156" t="e">
        <f>VLOOKUP(AX$2,$M$23:$V$24,9,FALSE)</f>
        <v>#N/A</v>
      </c>
      <c r="AX90" s="157"/>
      <c r="AY90" s="159">
        <f>IF(ISERROR(AW90),0,AW90)</f>
        <v>0</v>
      </c>
      <c r="AZ90" s="158">
        <f>IF(ISERROR(AX90),0,AX90)</f>
        <v>0</v>
      </c>
      <c r="BA90" s="156" t="e">
        <f>VLOOKUP(BB$2,$M$23:$V$24,9,FALSE)</f>
        <v>#N/A</v>
      </c>
      <c r="BB90" s="157"/>
      <c r="BC90" s="159">
        <f>IF(ISERROR(BA90),0,BA90)</f>
        <v>0</v>
      </c>
      <c r="BD90" s="158">
        <f>IF(ISERROR(BB90),0,BB90)</f>
        <v>0</v>
      </c>
      <c r="BE90" s="156" t="e">
        <f>VLOOKUP(BF$2,$L$23:$T$32,9,FALSE)</f>
        <v>#N/A</v>
      </c>
      <c r="BF90" s="157"/>
      <c r="BG90" s="159">
        <f>IF(ISERROR(BE90),0,BE90)</f>
        <v>0</v>
      </c>
      <c r="BH90" s="158">
        <f>IF(ISERROR(BF90),0,BF90)</f>
        <v>0</v>
      </c>
      <c r="BI90" s="156" t="e">
        <f>VLOOKUP(BJ$2,$L$23:$T$32,9,FALSE)</f>
        <v>#N/A</v>
      </c>
      <c r="BJ90" s="157"/>
      <c r="BK90" s="159">
        <f>IF(ISERROR(BI90),0,BI90)</f>
        <v>0</v>
      </c>
      <c r="BL90" s="158">
        <f>IF(ISERROR(BJ90),0,BJ90)</f>
        <v>0</v>
      </c>
      <c r="BM90" s="156" t="e">
        <f>VLOOKUP(BN$2,$L$23:$T$32,9,FALSE)</f>
        <v>#N/A</v>
      </c>
      <c r="BN90" s="157"/>
      <c r="BO90" s="159">
        <f>IF(ISERROR(BM90),0,BM90)</f>
        <v>0</v>
      </c>
      <c r="BP90" s="158">
        <f>IF(ISERROR(BN90),0,BN90)</f>
        <v>0</v>
      </c>
      <c r="BQ90" s="156" t="e">
        <f>VLOOKUP(BR$2,$L$23:$T$32,9,FALSE)</f>
        <v>#N/A</v>
      </c>
      <c r="BR90" s="157"/>
      <c r="BS90" s="159">
        <f>IF(ISERROR(BQ90),0,BQ90)</f>
        <v>0</v>
      </c>
      <c r="BT90" s="158">
        <f>IF(ISERROR(BR90),0,BR90)</f>
        <v>0</v>
      </c>
      <c r="BU90" s="156" t="e">
        <f>VLOOKUP(BV$2,$L$23:$T$32,9,FALSE)</f>
        <v>#N/A</v>
      </c>
      <c r="BV90" s="157"/>
      <c r="BW90" s="159">
        <f>IF(ISERROR(BU90),0,BU90)</f>
        <v>0</v>
      </c>
      <c r="BX90" s="158">
        <f>IF(ISERROR(BV90),0,BV90)</f>
        <v>0</v>
      </c>
      <c r="BY90" s="156" t="e">
        <f>VLOOKUP(BZ$2,$L$23:$T$32,9,FALSE)</f>
        <v>#N/A</v>
      </c>
      <c r="BZ90" s="157"/>
      <c r="CA90" s="159">
        <f>IF(ISERROR(BY90),0,BY90)</f>
        <v>0</v>
      </c>
      <c r="CB90" s="158">
        <f>IF(ISERROR(BZ90),0,BZ90)</f>
        <v>0</v>
      </c>
      <c r="CC90" s="156" t="e">
        <f>VLOOKUP(CD$2,$L$23:$T$32,9,FALSE)</f>
        <v>#N/A</v>
      </c>
      <c r="CD90" s="157"/>
      <c r="CE90" s="159">
        <f>IF(ISERROR(CC90),0,CC90)</f>
        <v>0</v>
      </c>
      <c r="CF90" s="158">
        <f>IF(ISERROR(CD90),0,CD90)</f>
        <v>0</v>
      </c>
      <c r="CG90" s="156" t="e">
        <f>VLOOKUP(CH$2,$L$23:$T$32,9,FALSE)</f>
        <v>#N/A</v>
      </c>
      <c r="CH90" s="157"/>
      <c r="CI90" s="159">
        <f>IF(ISERROR(CG90),0,CG90)</f>
        <v>0</v>
      </c>
      <c r="CJ90" s="158">
        <f>IF(ISERROR(CH90),0,CH90)</f>
        <v>0</v>
      </c>
      <c r="CK90" s="156" t="e">
        <f>VLOOKUP(CL$2,$L$23:$T$32,5,FALSE)</f>
        <v>#N/A</v>
      </c>
      <c r="CL90" s="157"/>
      <c r="CM90" s="157">
        <f>IF(ISERROR(CK90),0,CK90)</f>
        <v>0</v>
      </c>
      <c r="CN90" s="158">
        <f>IF(ISERROR(CL90),0,CL90)</f>
        <v>0</v>
      </c>
    </row>
    <row r="91" spans="24:92" x14ac:dyDescent="0.25">
      <c r="X91" s="93"/>
      <c r="Y91" s="156"/>
      <c r="Z91" s="157"/>
      <c r="AA91" s="157"/>
      <c r="AB91" s="158"/>
      <c r="AC91" s="156"/>
      <c r="AD91" s="157"/>
      <c r="AE91" s="157"/>
      <c r="AF91" s="158"/>
      <c r="AG91" s="156"/>
      <c r="AH91" s="157"/>
      <c r="AI91" s="157"/>
      <c r="AJ91" s="158"/>
      <c r="AK91" s="156"/>
      <c r="AL91" s="157"/>
      <c r="AM91" s="157"/>
      <c r="AN91" s="158"/>
      <c r="AO91" s="156"/>
      <c r="AP91" s="157"/>
      <c r="AQ91" s="157"/>
      <c r="AR91" s="158"/>
      <c r="AS91" s="156"/>
      <c r="AT91" s="157"/>
      <c r="AU91" s="157"/>
      <c r="AV91" s="158"/>
      <c r="AW91" s="156"/>
      <c r="AX91" s="157"/>
      <c r="AY91" s="157"/>
      <c r="AZ91" s="158"/>
      <c r="BA91" s="156"/>
      <c r="BB91" s="157"/>
      <c r="BC91" s="157"/>
      <c r="BD91" s="158"/>
      <c r="BE91" s="156"/>
      <c r="BF91" s="157"/>
      <c r="BG91" s="157"/>
      <c r="BH91" s="158"/>
      <c r="BI91" s="156"/>
      <c r="BJ91" s="157"/>
      <c r="BK91" s="157"/>
      <c r="BL91" s="158"/>
      <c r="BM91" s="156"/>
      <c r="BN91" s="157"/>
      <c r="BO91" s="157"/>
      <c r="BP91" s="158"/>
      <c r="BQ91" s="156"/>
      <c r="BR91" s="157"/>
      <c r="BS91" s="157"/>
      <c r="BT91" s="158"/>
      <c r="BU91" s="156"/>
      <c r="BV91" s="157"/>
      <c r="BW91" s="157"/>
      <c r="BX91" s="158"/>
      <c r="BY91" s="156"/>
      <c r="BZ91" s="157"/>
      <c r="CA91" s="157"/>
      <c r="CB91" s="158"/>
      <c r="CC91" s="156"/>
      <c r="CD91" s="157"/>
      <c r="CE91" s="157"/>
      <c r="CF91" s="158"/>
      <c r="CG91" s="156"/>
      <c r="CH91" s="157"/>
      <c r="CI91" s="157"/>
      <c r="CJ91" s="158"/>
      <c r="CK91" s="156"/>
      <c r="CL91" s="157"/>
      <c r="CM91" s="157">
        <f>CM90+CN90</f>
        <v>0</v>
      </c>
      <c r="CN91" s="158"/>
    </row>
    <row r="92" spans="24:92" x14ac:dyDescent="0.25">
      <c r="X92" s="93" t="s">
        <v>172</v>
      </c>
      <c r="Y92" s="156" t="e">
        <f>VLOOKUP(Z$2,$M$23:$V$24,5,FALSE)</f>
        <v>#N/A</v>
      </c>
      <c r="Z92" s="157"/>
      <c r="AA92" s="157">
        <f>IF(ISERROR(Y92),0,Y92)</f>
        <v>0</v>
      </c>
      <c r="AB92" s="158">
        <f>IF(ISERROR(Z92),0,Z92)</f>
        <v>0</v>
      </c>
      <c r="AC92" s="156" t="e">
        <f>VLOOKUP(AD$2,$M$23:$V$24,5,FALSE)</f>
        <v>#N/A</v>
      </c>
      <c r="AD92" s="157"/>
      <c r="AE92" s="157">
        <f>IF(ISERROR(AC92),0,AC92)</f>
        <v>0</v>
      </c>
      <c r="AF92" s="158">
        <f>IF(ISERROR(AD92),0,AD92)</f>
        <v>0</v>
      </c>
      <c r="AG92" s="156" t="e">
        <f>VLOOKUP(AH$2,$M$23:$V$24,5,FALSE)</f>
        <v>#N/A</v>
      </c>
      <c r="AH92" s="157"/>
      <c r="AI92" s="157">
        <f>IF(ISERROR(AG92),0,AG92)</f>
        <v>0</v>
      </c>
      <c r="AJ92" s="158">
        <f>IF(ISERROR(AH92),0,AH92)</f>
        <v>0</v>
      </c>
      <c r="AK92" s="156" t="e">
        <f>VLOOKUP(AL$2,$M$23:$V$24,5,FALSE)</f>
        <v>#N/A</v>
      </c>
      <c r="AL92" s="157"/>
      <c r="AM92" s="157">
        <f>IF(ISERROR(AK92),0,AK92)</f>
        <v>0</v>
      </c>
      <c r="AN92" s="158">
        <f>IF(ISERROR(AL92),0,AL92)</f>
        <v>0</v>
      </c>
      <c r="AO92" s="156" t="e">
        <f>VLOOKUP(AP$2,$M$23:$V$24,5,FALSE)</f>
        <v>#N/A</v>
      </c>
      <c r="AP92" s="157"/>
      <c r="AQ92" s="157">
        <f>IF(ISERROR(AO92),0,AO92)</f>
        <v>0</v>
      </c>
      <c r="AR92" s="158">
        <f>IF(ISERROR(AP92),0,AP92)</f>
        <v>0</v>
      </c>
      <c r="AS92" s="156" t="e">
        <f>VLOOKUP(AT$2,$M$23:$V$24,5,FALSE)</f>
        <v>#N/A</v>
      </c>
      <c r="AT92" s="157"/>
      <c r="AU92" s="157">
        <f>IF(ISERROR(AS92),0,AS92)</f>
        <v>0</v>
      </c>
      <c r="AV92" s="158">
        <f>IF(ISERROR(AT92),0,AT92)</f>
        <v>0</v>
      </c>
      <c r="AW92" s="156" t="e">
        <f>VLOOKUP(AX$2,$M$23:$V$24,5,FALSE)</f>
        <v>#N/A</v>
      </c>
      <c r="AX92" s="157"/>
      <c r="AY92" s="157">
        <f>IF(ISERROR(AW92),0,AW92)</f>
        <v>0</v>
      </c>
      <c r="AZ92" s="158">
        <f>IF(ISERROR(AX92),0,AX92)</f>
        <v>0</v>
      </c>
      <c r="BA92" s="156" t="e">
        <f>VLOOKUP(BB$2,$M$23:$V$24,5,FALSE)</f>
        <v>#N/A</v>
      </c>
      <c r="BB92" s="157"/>
      <c r="BC92" s="157">
        <f>IF(ISERROR(BA92),0,BA92)</f>
        <v>0</v>
      </c>
      <c r="BD92" s="158">
        <f>IF(ISERROR(BB92),0,BB92)</f>
        <v>0</v>
      </c>
      <c r="BE92" s="156" t="e">
        <f>VLOOKUP(BF$2,$L$23:$T$32,5,FALSE)</f>
        <v>#N/A</v>
      </c>
      <c r="BF92" s="157"/>
      <c r="BG92" s="157">
        <f>IF(ISERROR(BE92),0,BE92)</f>
        <v>0</v>
      </c>
      <c r="BH92" s="158">
        <f>IF(ISERROR(BF92),0,BF92)</f>
        <v>0</v>
      </c>
      <c r="BI92" s="156" t="e">
        <f>VLOOKUP(BJ$2,$L$23:$T$32,5,FALSE)</f>
        <v>#N/A</v>
      </c>
      <c r="BJ92" s="157"/>
      <c r="BK92" s="157">
        <f>IF(ISERROR(BI92),0,BI92)</f>
        <v>0</v>
      </c>
      <c r="BL92" s="158">
        <f>IF(ISERROR(BJ92),0,BJ92)</f>
        <v>0</v>
      </c>
      <c r="BM92" s="156" t="e">
        <f>VLOOKUP(BN$2,$L$23:$T$32,5,FALSE)</f>
        <v>#N/A</v>
      </c>
      <c r="BN92" s="157"/>
      <c r="BO92" s="157">
        <f>IF(ISERROR(BM92),0,BM92)</f>
        <v>0</v>
      </c>
      <c r="BP92" s="158">
        <f>IF(ISERROR(BN92),0,BN92)</f>
        <v>0</v>
      </c>
      <c r="BQ92" s="156" t="e">
        <f>VLOOKUP(BR$2,$L$23:$T$32,5,FALSE)</f>
        <v>#N/A</v>
      </c>
      <c r="BR92" s="157"/>
      <c r="BS92" s="157">
        <f>IF(ISERROR(BQ92),0,BQ92)</f>
        <v>0</v>
      </c>
      <c r="BT92" s="158">
        <f>IF(ISERROR(BR92),0,BR92)</f>
        <v>0</v>
      </c>
      <c r="BU92" s="156" t="e">
        <f>VLOOKUP(BV$2,$L$23:$T$32,5,FALSE)</f>
        <v>#N/A</v>
      </c>
      <c r="BV92" s="157"/>
      <c r="BW92" s="157">
        <f>IF(ISERROR(BU92),0,BU92)</f>
        <v>0</v>
      </c>
      <c r="BX92" s="158">
        <f>IF(ISERROR(BV92),0,BV92)</f>
        <v>0</v>
      </c>
      <c r="BY92" s="156" t="e">
        <f>VLOOKUP(BZ$2,$L$23:$T$32,5,FALSE)</f>
        <v>#N/A</v>
      </c>
      <c r="BZ92" s="157"/>
      <c r="CA92" s="157">
        <f>IF(ISERROR(BY92),0,BY92)</f>
        <v>0</v>
      </c>
      <c r="CB92" s="158">
        <f>IF(ISERROR(BZ92),0,BZ92)</f>
        <v>0</v>
      </c>
      <c r="CC92" s="156" t="e">
        <f>VLOOKUP(CD$2,$L$23:$T$32,5,FALSE)</f>
        <v>#N/A</v>
      </c>
      <c r="CD92" s="157"/>
      <c r="CE92" s="157">
        <f>IF(ISERROR(CC92),0,CC92)</f>
        <v>0</v>
      </c>
      <c r="CF92" s="158">
        <f>IF(ISERROR(CD92),0,CD92)</f>
        <v>0</v>
      </c>
      <c r="CG92" s="156" t="e">
        <f>VLOOKUP(CH$2,$L$23:$T$32,5,FALSE)</f>
        <v>#N/A</v>
      </c>
      <c r="CH92" s="157"/>
      <c r="CI92" s="157">
        <f>IF(ISERROR(CG92),0,CG92)</f>
        <v>0</v>
      </c>
      <c r="CJ92" s="158">
        <f>IF(ISERROR(CH92),0,CH92)</f>
        <v>0</v>
      </c>
      <c r="CK92" s="152">
        <f>IF(CM88&gt;=1,CM85/CM87,0)</f>
        <v>0</v>
      </c>
      <c r="CL92" s="157"/>
      <c r="CM92" s="157"/>
      <c r="CN92" s="158"/>
    </row>
    <row r="93" spans="24:92" x14ac:dyDescent="0.25">
      <c r="X93" s="93"/>
      <c r="Y93" s="156"/>
      <c r="Z93" s="157"/>
      <c r="AA93" s="160">
        <f>AA92+AB92</f>
        <v>0</v>
      </c>
      <c r="AB93" s="158"/>
      <c r="AC93" s="156"/>
      <c r="AD93" s="157"/>
      <c r="AE93" s="157">
        <f>AE92+AF92</f>
        <v>0</v>
      </c>
      <c r="AF93" s="158"/>
      <c r="AG93" s="156"/>
      <c r="AH93" s="157"/>
      <c r="AI93" s="157">
        <f>AI92+AJ92</f>
        <v>0</v>
      </c>
      <c r="AJ93" s="158"/>
      <c r="AK93" s="156"/>
      <c r="AL93" s="157"/>
      <c r="AM93" s="157">
        <f>AM92+AN92</f>
        <v>0</v>
      </c>
      <c r="AN93" s="158"/>
      <c r="AO93" s="156"/>
      <c r="AP93" s="157"/>
      <c r="AQ93" s="157">
        <f>AQ92+AR92</f>
        <v>0</v>
      </c>
      <c r="AR93" s="158"/>
      <c r="AS93" s="156"/>
      <c r="AT93" s="157"/>
      <c r="AU93" s="157">
        <f>AU92+AV92</f>
        <v>0</v>
      </c>
      <c r="AV93" s="158"/>
      <c r="AW93" s="156"/>
      <c r="AX93" s="157"/>
      <c r="AY93" s="157">
        <f>AY92+AZ92</f>
        <v>0</v>
      </c>
      <c r="AZ93" s="158"/>
      <c r="BA93" s="156"/>
      <c r="BB93" s="157"/>
      <c r="BC93" s="157">
        <f>BC92+BD92</f>
        <v>0</v>
      </c>
      <c r="BD93" s="158"/>
      <c r="BE93" s="156"/>
      <c r="BF93" s="157"/>
      <c r="BG93" s="157">
        <f>BG92+BH92</f>
        <v>0</v>
      </c>
      <c r="BH93" s="158"/>
      <c r="BI93" s="156"/>
      <c r="BJ93" s="157"/>
      <c r="BK93" s="157">
        <f>BK92+BL92</f>
        <v>0</v>
      </c>
      <c r="BL93" s="158"/>
      <c r="BM93" s="156"/>
      <c r="BN93" s="157"/>
      <c r="BO93" s="157">
        <f>BO92+BP92</f>
        <v>0</v>
      </c>
      <c r="BP93" s="158"/>
      <c r="BQ93" s="156"/>
      <c r="BR93" s="157"/>
      <c r="BS93" s="157">
        <f>BS92+BT92</f>
        <v>0</v>
      </c>
      <c r="BT93" s="158"/>
      <c r="BU93" s="156"/>
      <c r="BV93" s="157"/>
      <c r="BW93" s="157">
        <f>BW92+BX92</f>
        <v>0</v>
      </c>
      <c r="BX93" s="158"/>
      <c r="BY93" s="156"/>
      <c r="BZ93" s="157"/>
      <c r="CA93" s="157">
        <f>CA92+CB92</f>
        <v>0</v>
      </c>
      <c r="CB93" s="158"/>
      <c r="CC93" s="156"/>
      <c r="CD93" s="157"/>
      <c r="CE93" s="157">
        <f>CE92+CF92</f>
        <v>0</v>
      </c>
      <c r="CF93" s="158"/>
      <c r="CG93" s="156"/>
      <c r="CH93" s="157"/>
      <c r="CI93" s="157">
        <f>CI92+CJ92</f>
        <v>0</v>
      </c>
      <c r="CJ93" s="158"/>
      <c r="CK93" s="156"/>
      <c r="CL93" s="157"/>
      <c r="CM93" s="157"/>
      <c r="CN93" s="158"/>
    </row>
    <row r="94" spans="24:92" x14ac:dyDescent="0.25">
      <c r="X94" s="93"/>
      <c r="Y94" s="152">
        <f>IF(AA90&gt;=1,AA87/AA89,0)</f>
        <v>0</v>
      </c>
      <c r="Z94" s="157"/>
      <c r="AA94" s="157"/>
      <c r="AB94" s="158"/>
      <c r="AC94" s="152">
        <f>IF(AE90&gt;=1,AE87/AE89,0)</f>
        <v>0</v>
      </c>
      <c r="AD94" s="157"/>
      <c r="AE94" s="157"/>
      <c r="AF94" s="158"/>
      <c r="AG94" s="152">
        <f>IF(AI90&gt;=1,AI87/AI89,0)</f>
        <v>0</v>
      </c>
      <c r="AH94" s="157"/>
      <c r="AI94" s="157"/>
      <c r="AJ94" s="158"/>
      <c r="AK94" s="152">
        <f>IF(AM90&gt;=1,AM87/AM89,0)</f>
        <v>0</v>
      </c>
      <c r="AL94" s="157"/>
      <c r="AM94" s="157"/>
      <c r="AN94" s="158"/>
      <c r="AO94" s="152">
        <f>IF(AQ90&gt;=1,AQ87/AQ89,0)</f>
        <v>0</v>
      </c>
      <c r="AP94" s="157"/>
      <c r="AQ94" s="157"/>
      <c r="AR94" s="158"/>
      <c r="AS94" s="152">
        <f>IF(AU90&gt;=1,AU87/AU89,0)</f>
        <v>0</v>
      </c>
      <c r="AT94" s="157"/>
      <c r="AU94" s="157"/>
      <c r="AV94" s="158"/>
      <c r="AW94" s="152">
        <f>IF(AY90&gt;=1,AY87/AY89,0)</f>
        <v>0</v>
      </c>
      <c r="AX94" s="157"/>
      <c r="AY94" s="157"/>
      <c r="AZ94" s="158"/>
      <c r="BA94" s="152">
        <f>IF(BC90&gt;=1,BC87/BC89,0)</f>
        <v>0</v>
      </c>
      <c r="BB94" s="157"/>
      <c r="BC94" s="157"/>
      <c r="BD94" s="158"/>
      <c r="BE94" s="152">
        <f>IF(BG90&gt;=1,BG87/BG89,0)</f>
        <v>0</v>
      </c>
      <c r="BF94" s="157"/>
      <c r="BG94" s="157"/>
      <c r="BH94" s="158"/>
      <c r="BI94" s="152">
        <f>IF(BK90&gt;=1,BK87/BK89,0)</f>
        <v>0</v>
      </c>
      <c r="BJ94" s="157"/>
      <c r="BK94" s="157"/>
      <c r="BL94" s="158"/>
      <c r="BM94" s="152">
        <f>IF(BO90&gt;=1,BO87/BO89,0)</f>
        <v>0</v>
      </c>
      <c r="BN94" s="157"/>
      <c r="BO94" s="157"/>
      <c r="BP94" s="158"/>
      <c r="BQ94" s="152">
        <f>IF(BS90&gt;=1,BS87/BS89,0)</f>
        <v>0</v>
      </c>
      <c r="BR94" s="157"/>
      <c r="BS94" s="157"/>
      <c r="BT94" s="158"/>
      <c r="BU94" s="152">
        <f>IF(BW90&gt;=1,BW87/BW89,0)</f>
        <v>0</v>
      </c>
      <c r="BV94" s="157"/>
      <c r="BW94" s="157"/>
      <c r="BX94" s="158"/>
      <c r="BY94" s="152">
        <f>IF(CA90&gt;=1,CA87/CA89,0)</f>
        <v>0</v>
      </c>
      <c r="BZ94" s="157"/>
      <c r="CA94" s="157"/>
      <c r="CB94" s="158"/>
      <c r="CC94" s="152">
        <f>IF(CE90&gt;=1,CE87/CE89,0)</f>
        <v>0</v>
      </c>
      <c r="CD94" s="157"/>
      <c r="CE94" s="157"/>
      <c r="CF94" s="158"/>
      <c r="CG94" s="152">
        <f>IF(CI90&gt;=1,CI87/CI89,0)</f>
        <v>0</v>
      </c>
      <c r="CH94" s="157"/>
      <c r="CI94" s="157"/>
      <c r="CJ94" s="158"/>
      <c r="CK94" s="199"/>
      <c r="CL94" s="199"/>
      <c r="CM94" s="199"/>
      <c r="CN94" s="199"/>
    </row>
    <row r="95" spans="24:92" ht="15.75" x14ac:dyDescent="0.25">
      <c r="X95" s="93"/>
      <c r="Y95" s="156"/>
      <c r="Z95" s="157"/>
      <c r="AA95" s="157"/>
      <c r="AB95" s="158"/>
      <c r="AC95" s="156"/>
      <c r="AD95" s="157"/>
      <c r="AE95" s="157"/>
      <c r="AF95" s="158"/>
      <c r="AG95" s="156"/>
      <c r="AH95" s="157"/>
      <c r="AI95" s="157"/>
      <c r="AJ95" s="158"/>
      <c r="AK95" s="156"/>
      <c r="AL95" s="157"/>
      <c r="AM95" s="157"/>
      <c r="AN95" s="158"/>
      <c r="AO95" s="156"/>
      <c r="AP95" s="157"/>
      <c r="AQ95" s="157"/>
      <c r="AR95" s="158"/>
      <c r="AS95" s="156"/>
      <c r="AT95" s="157"/>
      <c r="AU95" s="157"/>
      <c r="AV95" s="158"/>
      <c r="AW95" s="156"/>
      <c r="AX95" s="157"/>
      <c r="AY95" s="157"/>
      <c r="AZ95" s="158"/>
      <c r="BA95" s="156"/>
      <c r="BB95" s="157"/>
      <c r="BC95" s="157"/>
      <c r="BD95" s="158"/>
      <c r="BE95" s="156"/>
      <c r="BF95" s="157"/>
      <c r="BG95" s="157"/>
      <c r="BH95" s="158"/>
      <c r="BI95" s="156"/>
      <c r="BJ95" s="157"/>
      <c r="BK95" s="157"/>
      <c r="BL95" s="158"/>
      <c r="BM95" s="156"/>
      <c r="BN95" s="157"/>
      <c r="BO95" s="157"/>
      <c r="BP95" s="158"/>
      <c r="BQ95" s="156"/>
      <c r="BR95" s="157"/>
      <c r="BS95" s="157"/>
      <c r="BT95" s="158"/>
      <c r="BU95" s="156"/>
      <c r="BV95" s="157"/>
      <c r="BW95" s="157"/>
      <c r="BX95" s="158"/>
      <c r="BY95" s="156"/>
      <c r="BZ95" s="157"/>
      <c r="CA95" s="157"/>
      <c r="CB95" s="158"/>
      <c r="CC95" s="156"/>
      <c r="CD95" s="157"/>
      <c r="CE95" s="157"/>
      <c r="CF95" s="158"/>
      <c r="CG95" s="156"/>
      <c r="CH95" s="157"/>
      <c r="CI95" s="157"/>
      <c r="CJ95" s="158"/>
      <c r="CK95" s="199" t="s">
        <v>173</v>
      </c>
      <c r="CL95" s="200">
        <f>IF(AND(CM88=2,CM79=2),Tirage!$D$51,IF(AND(CM88=0,CM79=2),Tirage!$D$52,IF(AND(CM88=2,CM79=1),Tirage!$D$53,IF(AND(CM88=0,CM79=1),Tirage!$D$54,0))))</f>
        <v>0</v>
      </c>
      <c r="CM95" s="159">
        <f>IF(ISERROR(CL95),0,CL95)</f>
        <v>0</v>
      </c>
      <c r="CN95" s="199"/>
    </row>
    <row r="96" spans="24:92" x14ac:dyDescent="0.25">
      <c r="Y96" s="199"/>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f>AU90+AU104</f>
        <v>0</v>
      </c>
      <c r="AV96" s="199"/>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199"/>
      <c r="CC96" s="199"/>
      <c r="CD96" s="199"/>
      <c r="CE96" s="199"/>
      <c r="CF96" s="199"/>
      <c r="CG96" s="199"/>
      <c r="CH96" s="199"/>
      <c r="CI96" s="199"/>
      <c r="CJ96" s="199"/>
      <c r="CK96" s="92"/>
      <c r="CL96" s="93"/>
      <c r="CM96" s="93"/>
      <c r="CN96" s="91"/>
    </row>
    <row r="97" spans="24:92" ht="15.75" x14ac:dyDescent="0.25">
      <c r="Y97" s="199" t="s">
        <v>173</v>
      </c>
      <c r="Z97" s="200" t="e">
        <f>IF(AND(Y88&gt;0,Y90=2),50,30)</f>
        <v>#N/A</v>
      </c>
      <c r="AA97" s="159">
        <f>IF(ISERROR(Z97),0,Z97)</f>
        <v>0</v>
      </c>
      <c r="AB97" s="199"/>
      <c r="AC97" s="199" t="s">
        <v>173</v>
      </c>
      <c r="AD97" s="200" t="e">
        <f>IF(AND(AC88&gt;0,AC90=2),50,30)</f>
        <v>#N/A</v>
      </c>
      <c r="AE97" s="159">
        <f>IF(ISERROR(AD97),0,AD97)</f>
        <v>0</v>
      </c>
      <c r="AF97" s="199"/>
      <c r="AG97" s="199" t="s">
        <v>173</v>
      </c>
      <c r="AH97" s="200" t="e">
        <f>IF(AND(AG88&gt;0,AG90=2),50,30)</f>
        <v>#N/A</v>
      </c>
      <c r="AI97" s="159">
        <f>IF(ISERROR(AH97),0,AH97)</f>
        <v>0</v>
      </c>
      <c r="AJ97" s="199"/>
      <c r="AK97" s="199" t="s">
        <v>173</v>
      </c>
      <c r="AL97" s="200" t="e">
        <f>IF(AND(AK88&gt;0,AK90=2),50,30)</f>
        <v>#N/A</v>
      </c>
      <c r="AM97" s="159">
        <f>IF(ISERROR(AL97),0,AL97)</f>
        <v>0</v>
      </c>
      <c r="AN97" s="199"/>
      <c r="AO97" s="199" t="s">
        <v>173</v>
      </c>
      <c r="AP97" s="200" t="e">
        <f>IF(AND(AO88&gt;0,AO90=2),50,30)</f>
        <v>#N/A</v>
      </c>
      <c r="AQ97" s="159">
        <f>IF(ISERROR(AP97),0,AP97)</f>
        <v>0</v>
      </c>
      <c r="AR97" s="199"/>
      <c r="AS97" s="199" t="s">
        <v>173</v>
      </c>
      <c r="AT97" s="200" t="e">
        <f>IF(AND(AS88&gt;0,AS90=2),50,30)</f>
        <v>#N/A</v>
      </c>
      <c r="AU97" s="159">
        <f>IF(ISERROR(AT97),0,AT97)</f>
        <v>0</v>
      </c>
      <c r="AV97" s="199"/>
      <c r="AW97" s="199" t="s">
        <v>173</v>
      </c>
      <c r="AX97" s="200" t="e">
        <f>IF(AND(AW88&gt;0,AW90=2),50,30)</f>
        <v>#N/A</v>
      </c>
      <c r="AY97" s="159">
        <f>IF(ISERROR(AX97),0,AX97)</f>
        <v>0</v>
      </c>
      <c r="AZ97" s="199"/>
      <c r="BA97" s="199" t="s">
        <v>173</v>
      </c>
      <c r="BB97" s="200" t="e">
        <f>IF(AND(BA88&gt;0,BA90=2),50,30)</f>
        <v>#N/A</v>
      </c>
      <c r="BC97" s="159">
        <f>IF(ISERROR(BB97),0,BB97)</f>
        <v>0</v>
      </c>
      <c r="BD97" s="199"/>
      <c r="BE97" s="199" t="s">
        <v>173</v>
      </c>
      <c r="BF97" s="200" t="e">
        <f>IF(AND(BE88&gt;0,BE90=2),50,30)</f>
        <v>#N/A</v>
      </c>
      <c r="BG97" s="159">
        <f>IF(ISERROR(BF97),0,BF97)</f>
        <v>0</v>
      </c>
      <c r="BH97" s="199"/>
      <c r="BI97" s="199" t="s">
        <v>173</v>
      </c>
      <c r="BJ97" s="200" t="e">
        <f>IF(AND(BI88&gt;0,BI90=2),50,30)</f>
        <v>#N/A</v>
      </c>
      <c r="BK97" s="159">
        <f>IF(ISERROR(BJ97),0,BJ97)</f>
        <v>0</v>
      </c>
      <c r="BL97" s="199"/>
      <c r="BM97" s="199" t="s">
        <v>173</v>
      </c>
      <c r="BN97" s="200" t="e">
        <f>IF(AND(BM88&gt;0,BM90=2),50,30)</f>
        <v>#N/A</v>
      </c>
      <c r="BO97" s="159">
        <f>IF(ISERROR(BN97),0,BN97)</f>
        <v>0</v>
      </c>
      <c r="BP97" s="199"/>
      <c r="BQ97" s="199" t="s">
        <v>173</v>
      </c>
      <c r="BR97" s="200" t="e">
        <f>IF(AND(BQ88&gt;0,BQ90=2),50,30)</f>
        <v>#N/A</v>
      </c>
      <c r="BS97" s="159">
        <f>IF(ISERROR(BR97),0,BR97)</f>
        <v>0</v>
      </c>
      <c r="BT97" s="199"/>
      <c r="BU97" s="199" t="s">
        <v>173</v>
      </c>
      <c r="BV97" s="200" t="e">
        <f>IF(AND(BU88&gt;0,BU90=2),50,30)</f>
        <v>#N/A</v>
      </c>
      <c r="BW97" s="159">
        <f>IF(ISERROR(BV97),0,BV97)</f>
        <v>0</v>
      </c>
      <c r="BX97" s="199"/>
      <c r="BY97" s="199" t="s">
        <v>173</v>
      </c>
      <c r="BZ97" s="200" t="e">
        <f>IF(AND(BY88&gt;0,BY90=2),50,30)</f>
        <v>#N/A</v>
      </c>
      <c r="CA97" s="159">
        <f>IF(ISERROR(BZ97),0,BZ97)</f>
        <v>0</v>
      </c>
      <c r="CB97" s="199"/>
      <c r="CC97" s="199" t="s">
        <v>173</v>
      </c>
      <c r="CD97" s="200" t="e">
        <f>IF(AND(CC88&gt;0,CC90=2),50,30)</f>
        <v>#N/A</v>
      </c>
      <c r="CE97" s="159">
        <f>IF(ISERROR(CD97),0,CD97)</f>
        <v>0</v>
      </c>
      <c r="CF97" s="199"/>
      <c r="CG97" s="199" t="s">
        <v>173</v>
      </c>
      <c r="CH97" s="200" t="e">
        <f>IF(AND(CG88&gt;0,CG90=2),50,30)</f>
        <v>#N/A</v>
      </c>
      <c r="CI97" s="159">
        <f>IF(ISERROR(CH97),0,CH97)</f>
        <v>0</v>
      </c>
      <c r="CJ97" s="199"/>
      <c r="CK97" s="92"/>
      <c r="CL97" s="93"/>
      <c r="CM97" s="93"/>
      <c r="CN97" s="91"/>
    </row>
    <row r="98" spans="24:92" ht="15.75" x14ac:dyDescent="0.25">
      <c r="AC98" s="92"/>
      <c r="AD98" s="93"/>
      <c r="AE98" s="93"/>
      <c r="AF98" s="91"/>
      <c r="AG98" s="92"/>
      <c r="AH98" s="93"/>
      <c r="AI98" s="93"/>
      <c r="AJ98" s="91"/>
      <c r="AK98" s="92"/>
      <c r="AL98" s="93"/>
      <c r="AM98" s="93"/>
      <c r="AN98" s="91"/>
      <c r="AO98" s="92"/>
      <c r="AP98" s="93"/>
      <c r="AQ98" s="93"/>
      <c r="AR98" s="91"/>
      <c r="AS98" s="92"/>
      <c r="AT98" s="93"/>
      <c r="AU98" s="93"/>
      <c r="AV98" s="91"/>
      <c r="AW98" s="92"/>
      <c r="AX98" s="93"/>
      <c r="AY98" s="93"/>
      <c r="AZ98" s="91"/>
      <c r="BA98" s="92"/>
      <c r="BB98" s="93"/>
      <c r="BC98" s="93"/>
      <c r="BD98" s="91"/>
      <c r="BE98" s="92"/>
      <c r="BF98" s="93"/>
      <c r="BG98" s="93"/>
      <c r="BH98" s="91"/>
      <c r="BI98" s="92"/>
      <c r="BJ98" s="93"/>
      <c r="BK98" s="93"/>
      <c r="BL98" s="91"/>
      <c r="BM98" s="92"/>
      <c r="BN98" s="93"/>
      <c r="BO98" s="93"/>
      <c r="BP98" s="91"/>
      <c r="BQ98" s="92"/>
      <c r="BR98" s="93"/>
      <c r="BS98" s="93"/>
      <c r="BT98" s="91"/>
      <c r="BU98" s="92"/>
      <c r="BV98" s="93"/>
      <c r="BW98" s="93"/>
      <c r="BX98" s="91"/>
      <c r="BY98" s="92"/>
      <c r="BZ98" s="93"/>
      <c r="CA98" s="93"/>
      <c r="CB98" s="91"/>
      <c r="CC98" s="92"/>
      <c r="CD98" s="93"/>
      <c r="CE98" s="93"/>
      <c r="CF98" s="91"/>
      <c r="CG98" s="92"/>
      <c r="CH98" s="93"/>
      <c r="CI98" s="93"/>
      <c r="CJ98" s="91"/>
      <c r="CK98" s="142">
        <f>CM85+CM70+CM53+CM12</f>
        <v>0</v>
      </c>
      <c r="CL98" s="93"/>
      <c r="CM98" s="162">
        <f>IF(ISERROR(CK98),0,CK98)</f>
        <v>0</v>
      </c>
      <c r="CN98" s="91"/>
    </row>
    <row r="99" spans="24:92" ht="15.75" x14ac:dyDescent="0.25">
      <c r="AC99" s="92"/>
      <c r="AD99" s="93"/>
      <c r="AE99" s="93"/>
      <c r="AF99" s="91"/>
      <c r="AG99" s="92"/>
      <c r="AH99" s="93"/>
      <c r="AI99" s="93"/>
      <c r="AJ99" s="91"/>
      <c r="AK99" s="92"/>
      <c r="AL99" s="93"/>
      <c r="AM99" s="93"/>
      <c r="AN99" s="91"/>
      <c r="AO99" s="92"/>
      <c r="AP99" s="93"/>
      <c r="AQ99" s="93"/>
      <c r="AR99" s="91"/>
      <c r="AS99" s="92"/>
      <c r="AT99" s="93"/>
      <c r="AU99" s="93"/>
      <c r="AV99" s="91"/>
      <c r="AW99" s="92"/>
      <c r="AX99" s="93"/>
      <c r="AY99" s="93"/>
      <c r="AZ99" s="91"/>
      <c r="BA99" s="92"/>
      <c r="BB99" s="93"/>
      <c r="BC99" s="93"/>
      <c r="BD99" s="91"/>
      <c r="BE99" s="92"/>
      <c r="BF99" s="93"/>
      <c r="BG99" s="93"/>
      <c r="BH99" s="91"/>
      <c r="BI99" s="92"/>
      <c r="BJ99" s="93"/>
      <c r="BK99" s="93"/>
      <c r="BL99" s="91"/>
      <c r="BM99" s="92"/>
      <c r="BN99" s="93"/>
      <c r="BO99" s="93"/>
      <c r="BP99" s="91"/>
      <c r="BQ99" s="92"/>
      <c r="BR99" s="93"/>
      <c r="BS99" s="93"/>
      <c r="BT99" s="91"/>
      <c r="BU99" s="92"/>
      <c r="BV99" s="93"/>
      <c r="BW99" s="93"/>
      <c r="BX99" s="91"/>
      <c r="BY99" s="92"/>
      <c r="BZ99" s="93"/>
      <c r="CA99" s="93"/>
      <c r="CB99" s="91"/>
      <c r="CC99" s="92"/>
      <c r="CD99" s="93"/>
      <c r="CE99" s="93"/>
      <c r="CF99" s="91"/>
      <c r="CG99" s="92"/>
      <c r="CH99" s="93"/>
      <c r="CI99" s="93"/>
      <c r="CJ99" s="91"/>
      <c r="CK99" s="92">
        <f>CM87+CM72+CM55+CM18</f>
        <v>0</v>
      </c>
      <c r="CL99" s="93"/>
      <c r="CM99" s="162">
        <f>IF(ISERROR(CK99),0,CK99)</f>
        <v>0</v>
      </c>
      <c r="CN99" s="91"/>
    </row>
    <row r="100" spans="24:92" ht="15.75" x14ac:dyDescent="0.25">
      <c r="X100" s="91" t="s">
        <v>139</v>
      </c>
      <c r="Y100" s="142">
        <f>AA9+AA55+AA72+AA87</f>
        <v>120</v>
      </c>
      <c r="Z100" s="93"/>
      <c r="AA100" s="162">
        <f t="shared" ref="AA100:AA106" si="100">IF(ISERROR(Y100),0,Y100)</f>
        <v>120</v>
      </c>
      <c r="AB100" s="91"/>
      <c r="AC100" s="142">
        <f>AE9+AE55+AE72+AE87</f>
        <v>100</v>
      </c>
      <c r="AD100" s="93"/>
      <c r="AE100" s="162">
        <f t="shared" ref="AE100:AE106" si="101">IF(ISERROR(AC100),0,AC100)</f>
        <v>100</v>
      </c>
      <c r="AF100" s="91"/>
      <c r="AG100" s="142">
        <f>AI9+AI55+AI72+AI87</f>
        <v>81</v>
      </c>
      <c r="AH100" s="93"/>
      <c r="AI100" s="162">
        <f t="shared" ref="AI100:AI106" si="102">IF(ISERROR(AG100),0,AG100)</f>
        <v>81</v>
      </c>
      <c r="AJ100" s="91"/>
      <c r="AK100" s="142">
        <f>AM9+AM55+AM72+AM87</f>
        <v>118</v>
      </c>
      <c r="AL100" s="93"/>
      <c r="AM100" s="162">
        <f t="shared" ref="AM100:AM106" si="103">IF(ISERROR(AK100),0,AK100)</f>
        <v>118</v>
      </c>
      <c r="AN100" s="91"/>
      <c r="AO100" s="142">
        <f>AQ9+AQ55+AQ72+AQ87</f>
        <v>116</v>
      </c>
      <c r="AP100" s="93"/>
      <c r="AQ100" s="162">
        <f t="shared" ref="AQ100:AQ106" si="104">IF(ISERROR(AO100),0,AO100)</f>
        <v>116</v>
      </c>
      <c r="AR100" s="91"/>
      <c r="AS100" s="142">
        <f>AU9+AU55+AU72+AU87</f>
        <v>91</v>
      </c>
      <c r="AT100" s="93"/>
      <c r="AU100" s="162">
        <f t="shared" ref="AU100:AU106" si="105">IF(ISERROR(AS100),0,AS100)</f>
        <v>91</v>
      </c>
      <c r="AV100" s="91"/>
      <c r="AW100" s="142">
        <f>AY9+AY55+AY72+AY87</f>
        <v>0</v>
      </c>
      <c r="AX100" s="93"/>
      <c r="AY100" s="162">
        <f t="shared" ref="AY100:AY106" si="106">IF(ISERROR(AW100),0,AW100)</f>
        <v>0</v>
      </c>
      <c r="AZ100" s="91"/>
      <c r="BA100" s="142">
        <f>BC9+BC55+BC72+BC87</f>
        <v>0</v>
      </c>
      <c r="BB100" s="93"/>
      <c r="BC100" s="162">
        <f t="shared" ref="BC100:BC106" si="107">IF(ISERROR(BA100),0,BA100)</f>
        <v>0</v>
      </c>
      <c r="BD100" s="91"/>
      <c r="BE100" s="142">
        <f>BG87+BG72+BG55+BG12</f>
        <v>0</v>
      </c>
      <c r="BF100" s="93"/>
      <c r="BG100" s="162">
        <f t="shared" ref="BG100:BG106" si="108">IF(ISERROR(BE100),0,BE100)</f>
        <v>0</v>
      </c>
      <c r="BH100" s="91"/>
      <c r="BI100" s="142">
        <f>BK87+BK72+BK55+BK12</f>
        <v>0</v>
      </c>
      <c r="BJ100" s="93"/>
      <c r="BK100" s="162">
        <f t="shared" ref="BK100:BK106" si="109">IF(ISERROR(BI100),0,BI100)</f>
        <v>0</v>
      </c>
      <c r="BL100" s="91"/>
      <c r="BM100" s="142">
        <f>BO87+BO72+BO55+BO12</f>
        <v>0</v>
      </c>
      <c r="BN100" s="93"/>
      <c r="BO100" s="162">
        <f t="shared" ref="BO100:BO106" si="110">IF(ISERROR(BM100),0,BM100)</f>
        <v>0</v>
      </c>
      <c r="BP100" s="91"/>
      <c r="BQ100" s="142">
        <f>BS87+BS72+BS55+BS12</f>
        <v>0</v>
      </c>
      <c r="BR100" s="93"/>
      <c r="BS100" s="162">
        <f t="shared" ref="BS100:BS106" si="111">IF(ISERROR(BQ100),0,BQ100)</f>
        <v>0</v>
      </c>
      <c r="BT100" s="91"/>
      <c r="BU100" s="142">
        <f>BW87+BW72+BW55+BW12</f>
        <v>0</v>
      </c>
      <c r="BV100" s="93"/>
      <c r="BW100" s="162">
        <f t="shared" ref="BW100:BW106" si="112">IF(ISERROR(BU100),0,BU100)</f>
        <v>0</v>
      </c>
      <c r="BX100" s="91"/>
      <c r="BY100" s="142">
        <f>CA87+CA72+CA55+CA12</f>
        <v>0</v>
      </c>
      <c r="BZ100" s="93"/>
      <c r="CA100" s="162">
        <f t="shared" ref="CA100:CA106" si="113">IF(ISERROR(BY100),0,BY100)</f>
        <v>0</v>
      </c>
      <c r="CB100" s="91"/>
      <c r="CC100" s="142">
        <f>CE87+CE72+CE55+CE12</f>
        <v>0</v>
      </c>
      <c r="CD100" s="93"/>
      <c r="CE100" s="162">
        <f t="shared" ref="CE100:CE106" si="114">IF(ISERROR(CC100),0,CC100)</f>
        <v>0</v>
      </c>
      <c r="CF100" s="91"/>
      <c r="CG100" s="142">
        <f>CI87+CI72+CI55+CI12</f>
        <v>0</v>
      </c>
      <c r="CH100" s="93"/>
      <c r="CI100" s="162">
        <f t="shared" ref="CI100:CI106" si="115">IF(ISERROR(CG100),0,CG100)</f>
        <v>0</v>
      </c>
      <c r="CJ100" s="91"/>
      <c r="CK100" s="92">
        <f>MAX(CM95,CM79,CM63,CM62)</f>
        <v>0</v>
      </c>
      <c r="CL100" s="93"/>
      <c r="CM100" s="163">
        <f>IF(ISERROR(CK100),0,CK100)</f>
        <v>0</v>
      </c>
      <c r="CN100" s="91"/>
    </row>
    <row r="101" spans="24:92" ht="15.75" x14ac:dyDescent="0.25">
      <c r="X101" s="91" t="s">
        <v>140</v>
      </c>
      <c r="Y101" s="92">
        <f>AA21+AA57+AA74+AA89</f>
        <v>74</v>
      </c>
      <c r="Z101" s="93"/>
      <c r="AA101" s="162">
        <f>IF(ISERROR(Y101),0,Y101)</f>
        <v>74</v>
      </c>
      <c r="AB101" s="91"/>
      <c r="AC101" s="92">
        <f>AE21+AE57+AE74+AE89</f>
        <v>76</v>
      </c>
      <c r="AD101" s="93"/>
      <c r="AE101" s="162">
        <f t="shared" si="101"/>
        <v>76</v>
      </c>
      <c r="AF101" s="91"/>
      <c r="AG101" s="92">
        <f>AI21+AI57+AI74+AI89</f>
        <v>78</v>
      </c>
      <c r="AH101" s="93"/>
      <c r="AI101" s="162">
        <f t="shared" si="102"/>
        <v>78</v>
      </c>
      <c r="AJ101" s="91"/>
      <c r="AK101" s="92">
        <f>AM21+AM57+AM74+AM89</f>
        <v>77</v>
      </c>
      <c r="AL101" s="93"/>
      <c r="AM101" s="162">
        <f t="shared" si="103"/>
        <v>77</v>
      </c>
      <c r="AN101" s="91"/>
      <c r="AO101" s="92">
        <f>AQ21+AQ57+AQ74+AQ89</f>
        <v>77</v>
      </c>
      <c r="AP101" s="93"/>
      <c r="AQ101" s="162">
        <f t="shared" si="104"/>
        <v>77</v>
      </c>
      <c r="AR101" s="91"/>
      <c r="AS101" s="92">
        <f>AU21+AU57+AU74+AU89</f>
        <v>74</v>
      </c>
      <c r="AT101" s="93"/>
      <c r="AU101" s="162">
        <f t="shared" si="105"/>
        <v>74</v>
      </c>
      <c r="AV101" s="91"/>
      <c r="AW101" s="92">
        <f>AY21+AY57+AY74+AY89</f>
        <v>0</v>
      </c>
      <c r="AX101" s="93"/>
      <c r="AY101" s="162">
        <f t="shared" si="106"/>
        <v>0</v>
      </c>
      <c r="AZ101" s="91"/>
      <c r="BA101" s="92">
        <f>BC21+BC57+BC74+BC89</f>
        <v>0</v>
      </c>
      <c r="BB101" s="93"/>
      <c r="BC101" s="162">
        <f t="shared" si="107"/>
        <v>0</v>
      </c>
      <c r="BD101" s="91"/>
      <c r="BE101" s="92">
        <f>BG89+BG74+BG57+BG21</f>
        <v>0</v>
      </c>
      <c r="BF101" s="93"/>
      <c r="BG101" s="162">
        <f t="shared" si="108"/>
        <v>0</v>
      </c>
      <c r="BH101" s="91"/>
      <c r="BI101" s="92">
        <f>BK89+BK74+BK57+BK21</f>
        <v>0</v>
      </c>
      <c r="BJ101" s="93"/>
      <c r="BK101" s="162">
        <f t="shared" si="109"/>
        <v>0</v>
      </c>
      <c r="BL101" s="91"/>
      <c r="BM101" s="92">
        <f>BO89+BO74+BO57+BO21</f>
        <v>0</v>
      </c>
      <c r="BN101" s="93"/>
      <c r="BO101" s="162">
        <f t="shared" si="110"/>
        <v>0</v>
      </c>
      <c r="BP101" s="91"/>
      <c r="BQ101" s="92">
        <f>BS89+BS74+BS57+BS21</f>
        <v>0</v>
      </c>
      <c r="BR101" s="93"/>
      <c r="BS101" s="162">
        <f t="shared" si="111"/>
        <v>0</v>
      </c>
      <c r="BT101" s="91"/>
      <c r="BU101" s="92">
        <f>BW89+BW74+BW57+BW21</f>
        <v>0</v>
      </c>
      <c r="BV101" s="93"/>
      <c r="BW101" s="162">
        <f t="shared" si="112"/>
        <v>0</v>
      </c>
      <c r="BX101" s="91"/>
      <c r="BY101" s="92">
        <f>CA89+CA74+CA57+CA21</f>
        <v>0</v>
      </c>
      <c r="BZ101" s="93"/>
      <c r="CA101" s="162">
        <f t="shared" si="113"/>
        <v>0</v>
      </c>
      <c r="CB101" s="91"/>
      <c r="CC101" s="92">
        <f>CE89+CE74+CE57+CE21</f>
        <v>0</v>
      </c>
      <c r="CD101" s="93"/>
      <c r="CE101" s="162">
        <f t="shared" si="114"/>
        <v>0</v>
      </c>
      <c r="CF101" s="91"/>
      <c r="CG101" s="92">
        <f>CI89+CI74+CI57+CI21</f>
        <v>0</v>
      </c>
      <c r="CH101" s="93"/>
      <c r="CI101" s="162">
        <f t="shared" si="115"/>
        <v>0</v>
      </c>
      <c r="CJ101" s="91"/>
      <c r="CK101" s="92">
        <f>MAX(CM90,CM75,CM59,CM41)</f>
        <v>0</v>
      </c>
      <c r="CL101" s="93"/>
      <c r="CM101" s="163">
        <f>IF(ISERROR(CK101),0,CK101)</f>
        <v>0</v>
      </c>
      <c r="CN101" s="91"/>
    </row>
    <row r="102" spans="24:92" ht="15.75" x14ac:dyDescent="0.25">
      <c r="X102" s="91" t="s">
        <v>141</v>
      </c>
      <c r="Y102" s="92">
        <f>AA29+AA58+AA75+AA90</f>
        <v>4</v>
      </c>
      <c r="Z102" s="93"/>
      <c r="AA102" s="163">
        <f t="shared" si="100"/>
        <v>4</v>
      </c>
      <c r="AB102" s="91"/>
      <c r="AC102" s="92">
        <f>AE29+AE58+AE75+AE90</f>
        <v>2</v>
      </c>
      <c r="AD102" s="93"/>
      <c r="AE102" s="163">
        <f t="shared" si="101"/>
        <v>2</v>
      </c>
      <c r="AF102" s="91"/>
      <c r="AG102" s="92">
        <f>AI29+AI58+AI75+AI90</f>
        <v>0</v>
      </c>
      <c r="AH102" s="93"/>
      <c r="AI102" s="163">
        <f t="shared" si="102"/>
        <v>0</v>
      </c>
      <c r="AJ102" s="91"/>
      <c r="AK102" s="92">
        <f>AM29+AM58+AM75+AM90</f>
        <v>4</v>
      </c>
      <c r="AL102" s="93"/>
      <c r="AM102" s="163">
        <f t="shared" si="103"/>
        <v>4</v>
      </c>
      <c r="AN102" s="91"/>
      <c r="AO102" s="92">
        <f>AQ29+AQ58+AQ75+AQ90</f>
        <v>2</v>
      </c>
      <c r="AP102" s="93"/>
      <c r="AQ102" s="163">
        <f t="shared" si="104"/>
        <v>2</v>
      </c>
      <c r="AR102" s="91"/>
      <c r="AS102" s="92">
        <f>AU29+AU58+AU75+AU90</f>
        <v>0</v>
      </c>
      <c r="AT102" s="93"/>
      <c r="AU102" s="163">
        <f t="shared" si="105"/>
        <v>0</v>
      </c>
      <c r="AV102" s="91"/>
      <c r="AW102" s="92">
        <f>AY29+AY58+AY75+AY90</f>
        <v>0</v>
      </c>
      <c r="AX102" s="93"/>
      <c r="AY102" s="163">
        <f t="shared" si="106"/>
        <v>0</v>
      </c>
      <c r="AZ102" s="91"/>
      <c r="BA102" s="92">
        <f>BC29+BC58+BC75+BC90</f>
        <v>0</v>
      </c>
      <c r="BB102" s="93"/>
      <c r="BC102" s="163">
        <f t="shared" si="107"/>
        <v>0</v>
      </c>
      <c r="BD102" s="91"/>
      <c r="BE102" s="92">
        <f>BG29+BG58+BG75+BG90</f>
        <v>0</v>
      </c>
      <c r="BF102" s="93"/>
      <c r="BG102" s="163">
        <f t="shared" si="108"/>
        <v>0</v>
      </c>
      <c r="BH102" s="91"/>
      <c r="BI102" s="92">
        <f>BK29+BK58+BK75+BK90</f>
        <v>0</v>
      </c>
      <c r="BJ102" s="93"/>
      <c r="BK102" s="163">
        <f t="shared" si="109"/>
        <v>0</v>
      </c>
      <c r="BL102" s="91"/>
      <c r="BM102" s="92">
        <f>BO29+BO58+BO75+BO90</f>
        <v>0</v>
      </c>
      <c r="BN102" s="93"/>
      <c r="BO102" s="163">
        <f t="shared" si="110"/>
        <v>0</v>
      </c>
      <c r="BP102" s="91"/>
      <c r="BQ102" s="92">
        <f>BS29+BS58+BS75+BS90</f>
        <v>0</v>
      </c>
      <c r="BR102" s="93"/>
      <c r="BS102" s="163">
        <f t="shared" si="111"/>
        <v>0</v>
      </c>
      <c r="BT102" s="91"/>
      <c r="BU102" s="92">
        <f>BW29+BW58+BW75+BW90</f>
        <v>0</v>
      </c>
      <c r="BV102" s="93"/>
      <c r="BW102" s="163">
        <f t="shared" si="112"/>
        <v>0</v>
      </c>
      <c r="BX102" s="91"/>
      <c r="BY102" s="92">
        <f>CA29+CA58+CA75+CA90</f>
        <v>0</v>
      </c>
      <c r="BZ102" s="93"/>
      <c r="CA102" s="163">
        <f t="shared" si="113"/>
        <v>0</v>
      </c>
      <c r="CB102" s="91"/>
      <c r="CC102" s="92">
        <f>CE29+CE58+CE75+CE90</f>
        <v>0</v>
      </c>
      <c r="CD102" s="93"/>
      <c r="CE102" s="163">
        <f t="shared" si="114"/>
        <v>0</v>
      </c>
      <c r="CF102" s="91"/>
      <c r="CG102" s="92">
        <f>CI29+CI58+CI75+CI90</f>
        <v>0</v>
      </c>
      <c r="CH102" s="93"/>
      <c r="CI102" s="163">
        <f t="shared" si="115"/>
        <v>0</v>
      </c>
      <c r="CJ102" s="91"/>
      <c r="CK102" s="142">
        <f>MAX(CM35,CK60,CK76,CK92)</f>
        <v>0</v>
      </c>
      <c r="CL102" s="93"/>
      <c r="CM102" s="163">
        <f>IF(ISERROR(CK102),0,CK102)</f>
        <v>0</v>
      </c>
      <c r="CN102" s="91"/>
    </row>
    <row r="103" spans="24:92" ht="15.75" x14ac:dyDescent="0.25">
      <c r="X103" s="93" t="s">
        <v>142</v>
      </c>
      <c r="Y103" s="92">
        <f>MAX(AA45,AA61,AA77,AA93)</f>
        <v>6</v>
      </c>
      <c r="Z103" s="93"/>
      <c r="AA103" s="163">
        <f t="shared" si="100"/>
        <v>6</v>
      </c>
      <c r="AB103" s="91"/>
      <c r="AC103" s="92">
        <f>MAX(AE45,AE61,AE77,AE93)</f>
        <v>7</v>
      </c>
      <c r="AD103" s="93"/>
      <c r="AE103" s="163">
        <f t="shared" si="101"/>
        <v>7</v>
      </c>
      <c r="AF103" s="91"/>
      <c r="AG103" s="92">
        <f>MAX(AI45,AI61,AI77,AI93)</f>
        <v>8</v>
      </c>
      <c r="AH103" s="93"/>
      <c r="AI103" s="163">
        <f t="shared" si="102"/>
        <v>8</v>
      </c>
      <c r="AJ103" s="91"/>
      <c r="AK103" s="92">
        <f>MAX(AM45,AM61,AM77,AM93)</f>
        <v>14</v>
      </c>
      <c r="AL103" s="93"/>
      <c r="AM103" s="163">
        <f t="shared" si="103"/>
        <v>14</v>
      </c>
      <c r="AN103" s="91"/>
      <c r="AO103" s="92">
        <f>MAX(AQ45,AQ61,AQ77,AQ93)</f>
        <v>8</v>
      </c>
      <c r="AP103" s="93"/>
      <c r="AQ103" s="163">
        <f t="shared" si="104"/>
        <v>8</v>
      </c>
      <c r="AR103" s="91"/>
      <c r="AS103" s="92">
        <f>MAX(AU45,AU61,AU77,AU93)</f>
        <v>9</v>
      </c>
      <c r="AT103" s="93"/>
      <c r="AU103" s="163">
        <f t="shared" si="105"/>
        <v>9</v>
      </c>
      <c r="AV103" s="91"/>
      <c r="AW103" s="92">
        <f>MAX(AY45,AY61,AY77,AY93)</f>
        <v>0</v>
      </c>
      <c r="AX103" s="93"/>
      <c r="AY103" s="163">
        <f t="shared" si="106"/>
        <v>0</v>
      </c>
      <c r="AZ103" s="91"/>
      <c r="BA103" s="92">
        <f>MAX(BC45,BC61,BC77,BC93)</f>
        <v>0</v>
      </c>
      <c r="BB103" s="93"/>
      <c r="BC103" s="163">
        <f t="shared" si="107"/>
        <v>0</v>
      </c>
      <c r="BD103" s="91"/>
      <c r="BE103" s="92">
        <f>MAX(BG92,BG77,BG61,BG43)</f>
        <v>0</v>
      </c>
      <c r="BF103" s="93"/>
      <c r="BG103" s="163">
        <f t="shared" si="108"/>
        <v>0</v>
      </c>
      <c r="BH103" s="91"/>
      <c r="BI103" s="92">
        <f>MAX(BK92,BK77,BK61,BK43)</f>
        <v>0</v>
      </c>
      <c r="BJ103" s="93"/>
      <c r="BK103" s="163">
        <f t="shared" si="109"/>
        <v>0</v>
      </c>
      <c r="BL103" s="91"/>
      <c r="BM103" s="92">
        <f>MAX(BO92,BO77,BO61,BO43)</f>
        <v>0</v>
      </c>
      <c r="BN103" s="93"/>
      <c r="BO103" s="163">
        <f t="shared" si="110"/>
        <v>0</v>
      </c>
      <c r="BP103" s="91"/>
      <c r="BQ103" s="92">
        <f>MAX(BS92,BS77,BS61,BS43)</f>
        <v>0</v>
      </c>
      <c r="BR103" s="93"/>
      <c r="BS103" s="163">
        <f t="shared" si="111"/>
        <v>0</v>
      </c>
      <c r="BT103" s="91"/>
      <c r="BU103" s="92">
        <f>MAX(BW92,BW77,BW61,BW43)</f>
        <v>0</v>
      </c>
      <c r="BV103" s="93"/>
      <c r="BW103" s="163">
        <f t="shared" si="112"/>
        <v>0</v>
      </c>
      <c r="BX103" s="91"/>
      <c r="BY103" s="92">
        <f>MAX(CA92,CA77,CA61,CA43)</f>
        <v>0</v>
      </c>
      <c r="BZ103" s="93"/>
      <c r="CA103" s="163">
        <f t="shared" si="113"/>
        <v>0</v>
      </c>
      <c r="CB103" s="91"/>
      <c r="CC103" s="92">
        <f>MAX(CE92,CE77,CE61,CE43)</f>
        <v>0</v>
      </c>
      <c r="CD103" s="93"/>
      <c r="CE103" s="163">
        <f t="shared" si="114"/>
        <v>0</v>
      </c>
      <c r="CF103" s="91"/>
      <c r="CG103" s="92">
        <f>MAX(CI92,CI77,CI61,CI43)</f>
        <v>0</v>
      </c>
      <c r="CH103" s="93"/>
      <c r="CI103" s="163">
        <f t="shared" si="115"/>
        <v>0</v>
      </c>
      <c r="CJ103" s="91"/>
    </row>
    <row r="104" spans="24:92" ht="15.75" x14ac:dyDescent="0.25">
      <c r="X104" s="91" t="s">
        <v>143</v>
      </c>
      <c r="Y104" s="142">
        <f>MAX(AA37,Y62,Y78,Y94)</f>
        <v>1.6666666666666667</v>
      </c>
      <c r="Z104" s="93"/>
      <c r="AA104" s="163">
        <f t="shared" si="100"/>
        <v>1.6666666666666667</v>
      </c>
      <c r="AB104" s="91"/>
      <c r="AC104" s="142">
        <f>MAX(AE37,AC62,AC78,AC94)</f>
        <v>1.2749999999999999</v>
      </c>
      <c r="AD104" s="93"/>
      <c r="AE104" s="163">
        <f t="shared" si="101"/>
        <v>1.2749999999999999</v>
      </c>
      <c r="AF104" s="91"/>
      <c r="AG104" s="142">
        <f>MAX(AI37,AG62,AG78,AG94)</f>
        <v>0</v>
      </c>
      <c r="AH104" s="93"/>
      <c r="AI104" s="163">
        <f t="shared" si="102"/>
        <v>0</v>
      </c>
      <c r="AJ104" s="91"/>
      <c r="AK104" s="142">
        <f>MAX(AM37,AK62,AK78,AK94)</f>
        <v>1.6216216216216217</v>
      </c>
      <c r="AL104" s="93"/>
      <c r="AM104" s="163">
        <f t="shared" si="103"/>
        <v>1.6216216216216217</v>
      </c>
      <c r="AN104" s="91"/>
      <c r="AO104" s="142">
        <f>MAX(AQ37,AO62,AO78,AO94)</f>
        <v>1.6216216216216217</v>
      </c>
      <c r="AP104" s="93"/>
      <c r="AQ104" s="163">
        <f t="shared" si="104"/>
        <v>1.6216216216216217</v>
      </c>
      <c r="AR104" s="91"/>
      <c r="AS104" s="142">
        <f>MAX(AU37,AS62,AS78,AS94)</f>
        <v>0</v>
      </c>
      <c r="AT104" s="93"/>
      <c r="AU104" s="163">
        <f t="shared" si="105"/>
        <v>0</v>
      </c>
      <c r="AV104" s="91"/>
      <c r="AW104" s="142">
        <f>MAX(AY37,AW62,AW78,AW94)</f>
        <v>0</v>
      </c>
      <c r="AX104" s="93"/>
      <c r="AY104" s="163">
        <f t="shared" si="106"/>
        <v>0</v>
      </c>
      <c r="AZ104" s="91"/>
      <c r="BA104" s="142">
        <f>MAX(BC37,BA62,BA78,BA94)</f>
        <v>0</v>
      </c>
      <c r="BB104" s="93"/>
      <c r="BC104" s="163">
        <f t="shared" si="107"/>
        <v>0</v>
      </c>
      <c r="BD104" s="91"/>
      <c r="BE104" s="142">
        <f>MAX(BG37,BE62,BE78,BE94)</f>
        <v>0</v>
      </c>
      <c r="BF104" s="93"/>
      <c r="BG104" s="163">
        <f t="shared" si="108"/>
        <v>0</v>
      </c>
      <c r="BH104" s="91"/>
      <c r="BI104" s="142">
        <f>MAX(BK37,BI62,BI78,BI94)</f>
        <v>0</v>
      </c>
      <c r="BJ104" s="93"/>
      <c r="BK104" s="163">
        <f t="shared" si="109"/>
        <v>0</v>
      </c>
      <c r="BL104" s="91"/>
      <c r="BM104" s="142">
        <f>MAX(BO37,BM62,BM78,BM94)</f>
        <v>0</v>
      </c>
      <c r="BN104" s="93"/>
      <c r="BO104" s="163">
        <f t="shared" si="110"/>
        <v>0</v>
      </c>
      <c r="BP104" s="91"/>
      <c r="BQ104" s="142">
        <f>MAX(BS37,BQ62,BQ78,BQ94)</f>
        <v>0</v>
      </c>
      <c r="BR104" s="93"/>
      <c r="BS104" s="163">
        <f t="shared" si="111"/>
        <v>0</v>
      </c>
      <c r="BT104" s="91"/>
      <c r="BU104" s="142">
        <f>MAX(BW37,BU62,BU78,BU94)</f>
        <v>0</v>
      </c>
      <c r="BV104" s="93"/>
      <c r="BW104" s="163">
        <f t="shared" si="112"/>
        <v>0</v>
      </c>
      <c r="BX104" s="91"/>
      <c r="BY104" s="142">
        <f>MAX(CA37,BY62,BY78,BY94)</f>
        <v>0</v>
      </c>
      <c r="BZ104" s="93"/>
      <c r="CA104" s="163">
        <f t="shared" si="113"/>
        <v>0</v>
      </c>
      <c r="CB104" s="91"/>
      <c r="CC104" s="142">
        <f>MAX(CE37,CC62,CC78,CC94)</f>
        <v>0</v>
      </c>
      <c r="CD104" s="93"/>
      <c r="CE104" s="163">
        <f t="shared" si="114"/>
        <v>0</v>
      </c>
      <c r="CF104" s="91"/>
      <c r="CG104" s="142">
        <f>MAX(CI37,CG62,CG78,CG94)</f>
        <v>0</v>
      </c>
      <c r="CH104" s="93"/>
      <c r="CI104" s="163">
        <f t="shared" si="115"/>
        <v>0</v>
      </c>
      <c r="CJ104" s="91"/>
    </row>
    <row r="105" spans="24:92" ht="15.75" x14ac:dyDescent="0.25">
      <c r="X105" s="93" t="s">
        <v>174</v>
      </c>
      <c r="Y105" s="93">
        <f>AA97+AA81+AA64</f>
        <v>0</v>
      </c>
      <c r="Z105" s="93"/>
      <c r="AA105" s="163">
        <f t="shared" si="100"/>
        <v>0</v>
      </c>
      <c r="AB105" s="91"/>
      <c r="AC105" s="93">
        <f>AE97+AE81+AE64</f>
        <v>0</v>
      </c>
      <c r="AD105" s="93"/>
      <c r="AE105" s="163">
        <f t="shared" si="101"/>
        <v>0</v>
      </c>
      <c r="AF105" s="93"/>
      <c r="AG105" s="93">
        <f>AI97+AI81+AI64</f>
        <v>0</v>
      </c>
      <c r="AH105" s="93"/>
      <c r="AI105" s="163">
        <f t="shared" si="102"/>
        <v>0</v>
      </c>
      <c r="AJ105" s="93"/>
      <c r="AK105" s="93">
        <f>AM97+AM81+AM64</f>
        <v>0</v>
      </c>
      <c r="AL105" s="93"/>
      <c r="AM105" s="163">
        <f t="shared" si="103"/>
        <v>0</v>
      </c>
      <c r="AN105" s="93"/>
      <c r="AO105" s="93">
        <f>AQ97+AQ81+AQ64</f>
        <v>0</v>
      </c>
      <c r="AP105" s="93"/>
      <c r="AQ105" s="163">
        <f t="shared" si="104"/>
        <v>0</v>
      </c>
      <c r="AR105" s="93"/>
      <c r="AS105" s="93">
        <f>AU97+AU81+AU64</f>
        <v>0</v>
      </c>
      <c r="AT105" s="93"/>
      <c r="AU105" s="163">
        <f t="shared" si="105"/>
        <v>0</v>
      </c>
      <c r="AV105" s="93"/>
      <c r="AW105" s="93">
        <f>AY97+AY81+AY64</f>
        <v>0</v>
      </c>
      <c r="AX105" s="93"/>
      <c r="AY105" s="163">
        <f t="shared" si="106"/>
        <v>0</v>
      </c>
      <c r="AZ105" s="93"/>
      <c r="BA105" s="93">
        <f>BC97+BC81+BC64</f>
        <v>0</v>
      </c>
      <c r="BB105" s="93"/>
      <c r="BC105" s="163">
        <f t="shared" si="107"/>
        <v>0</v>
      </c>
      <c r="BD105" s="93"/>
      <c r="BE105" s="93">
        <f>BG97+BG81+BG64</f>
        <v>0</v>
      </c>
      <c r="BF105" s="93"/>
      <c r="BG105" s="163">
        <f t="shared" si="108"/>
        <v>0</v>
      </c>
      <c r="BI105" s="93">
        <f>BK97+BK81+BK64</f>
        <v>0</v>
      </c>
      <c r="BJ105" s="93"/>
      <c r="BK105" s="163">
        <f t="shared" si="109"/>
        <v>0</v>
      </c>
      <c r="BM105" s="93">
        <f>BO97+BO81+BO64</f>
        <v>0</v>
      </c>
      <c r="BN105" s="93"/>
      <c r="BO105" s="163">
        <f t="shared" si="110"/>
        <v>0</v>
      </c>
      <c r="BQ105" s="93">
        <f>BS97+BS81+BS64</f>
        <v>0</v>
      </c>
      <c r="BR105" s="93"/>
      <c r="BS105" s="163">
        <f t="shared" si="111"/>
        <v>0</v>
      </c>
      <c r="BU105" s="93">
        <f>BW97+BW81+BW64</f>
        <v>0</v>
      </c>
      <c r="BV105" s="93"/>
      <c r="BW105" s="163">
        <f t="shared" si="112"/>
        <v>0</v>
      </c>
      <c r="BY105" s="93">
        <f>CA97+CA81+CA64</f>
        <v>0</v>
      </c>
      <c r="BZ105" s="93"/>
      <c r="CA105" s="163">
        <f t="shared" si="113"/>
        <v>0</v>
      </c>
      <c r="CC105" s="93">
        <f>CE97+CE81+CE64</f>
        <v>0</v>
      </c>
      <c r="CD105" s="93"/>
      <c r="CE105" s="163">
        <f t="shared" si="114"/>
        <v>0</v>
      </c>
      <c r="CG105" s="93">
        <f>CI97+CI81+CI64</f>
        <v>0</v>
      </c>
      <c r="CH105" s="93"/>
      <c r="CI105" s="163">
        <f t="shared" si="115"/>
        <v>0</v>
      </c>
    </row>
    <row r="106" spans="24:92" ht="15.75" x14ac:dyDescent="0.25">
      <c r="X106" s="93" t="s">
        <v>175</v>
      </c>
      <c r="Y106" s="93">
        <f>AA81</f>
        <v>0</v>
      </c>
      <c r="Z106" s="93"/>
      <c r="AA106" s="163">
        <f t="shared" si="100"/>
        <v>0</v>
      </c>
      <c r="AB106" s="93"/>
      <c r="AC106" s="93">
        <f>AE81</f>
        <v>0</v>
      </c>
      <c r="AD106" s="93"/>
      <c r="AE106" s="163">
        <f t="shared" si="101"/>
        <v>0</v>
      </c>
      <c r="AF106" s="93"/>
      <c r="AG106" s="93">
        <f>AI81</f>
        <v>0</v>
      </c>
      <c r="AH106" s="93"/>
      <c r="AI106" s="163">
        <f t="shared" si="102"/>
        <v>0</v>
      </c>
      <c r="AJ106" s="93"/>
      <c r="AK106" s="93">
        <f>AM81</f>
        <v>0</v>
      </c>
      <c r="AL106" s="93"/>
      <c r="AM106" s="163">
        <f t="shared" si="103"/>
        <v>0</v>
      </c>
      <c r="AN106" s="93"/>
      <c r="AO106" s="93">
        <f>AQ81</f>
        <v>0</v>
      </c>
      <c r="AP106" s="93"/>
      <c r="AQ106" s="163">
        <f t="shared" si="104"/>
        <v>0</v>
      </c>
      <c r="AR106" s="93"/>
      <c r="AS106" s="93">
        <f>AU81</f>
        <v>0</v>
      </c>
      <c r="AT106" s="93"/>
      <c r="AU106" s="163">
        <f t="shared" si="105"/>
        <v>0</v>
      </c>
      <c r="AV106" s="93"/>
      <c r="AW106" s="93">
        <f>AY81</f>
        <v>0</v>
      </c>
      <c r="AX106" s="93"/>
      <c r="AY106" s="163">
        <f t="shared" si="106"/>
        <v>0</v>
      </c>
      <c r="AZ106" s="93"/>
      <c r="BA106" s="93">
        <f>BC81</f>
        <v>0</v>
      </c>
      <c r="BB106" s="93"/>
      <c r="BC106" s="163">
        <f t="shared" si="107"/>
        <v>0</v>
      </c>
      <c r="BD106" s="93"/>
      <c r="BE106" s="93">
        <f>BG81</f>
        <v>0</v>
      </c>
      <c r="BF106" s="93"/>
      <c r="BG106" s="163">
        <f t="shared" si="108"/>
        <v>0</v>
      </c>
      <c r="BI106" s="93">
        <f>BK81</f>
        <v>0</v>
      </c>
      <c r="BJ106" s="93"/>
      <c r="BK106" s="163">
        <f t="shared" si="109"/>
        <v>0</v>
      </c>
      <c r="BM106" s="93">
        <f>BO81</f>
        <v>0</v>
      </c>
      <c r="BN106" s="93"/>
      <c r="BO106" s="163">
        <f t="shared" si="110"/>
        <v>0</v>
      </c>
      <c r="BQ106" s="93">
        <f>BS81</f>
        <v>0</v>
      </c>
      <c r="BR106" s="93"/>
      <c r="BS106" s="163">
        <f t="shared" si="111"/>
        <v>0</v>
      </c>
      <c r="BU106" s="93">
        <f>BW81</f>
        <v>0</v>
      </c>
      <c r="BV106" s="93"/>
      <c r="BW106" s="163">
        <f t="shared" si="112"/>
        <v>0</v>
      </c>
      <c r="BY106" s="93">
        <f>CA81</f>
        <v>0</v>
      </c>
      <c r="BZ106" s="93"/>
      <c r="CA106" s="163">
        <f t="shared" si="113"/>
        <v>0</v>
      </c>
      <c r="CC106" s="93">
        <f>CE81</f>
        <v>0</v>
      </c>
      <c r="CD106" s="93"/>
      <c r="CE106" s="163">
        <f t="shared" si="114"/>
        <v>0</v>
      </c>
      <c r="CG106" s="93">
        <f>CI81</f>
        <v>0</v>
      </c>
      <c r="CH106" s="93"/>
      <c r="CI106" s="163">
        <f t="shared" si="115"/>
        <v>0</v>
      </c>
    </row>
    <row r="108" spans="24:92" x14ac:dyDescent="0.25">
      <c r="X108" s="93"/>
      <c r="Y108" s="93"/>
      <c r="AA108" s="93"/>
      <c r="AB108" s="93"/>
      <c r="AQ108" s="93"/>
      <c r="AU108" s="93"/>
    </row>
    <row r="109" spans="24:92" x14ac:dyDescent="0.25">
      <c r="X109" s="93"/>
      <c r="Y109" s="164"/>
      <c r="AA109" s="93"/>
      <c r="AB109" s="93"/>
      <c r="AQ109" s="104"/>
      <c r="AU109" s="104"/>
      <c r="CL109" s="104"/>
    </row>
    <row r="110" spans="24:92" x14ac:dyDescent="0.25">
      <c r="X110" s="93"/>
      <c r="Y110" s="93"/>
      <c r="AA110" s="93"/>
      <c r="AB110" s="93"/>
      <c r="CL110" s="104"/>
    </row>
    <row r="111" spans="24:92" x14ac:dyDescent="0.25">
      <c r="X111" s="93"/>
      <c r="Y111" s="104"/>
      <c r="AA111" s="93"/>
      <c r="AB111" s="93"/>
      <c r="AU111" s="104"/>
      <c r="BZ111" s="104"/>
      <c r="CD111" s="104"/>
      <c r="CH111" s="104"/>
      <c r="CL111" s="165"/>
    </row>
    <row r="112" spans="24:92" x14ac:dyDescent="0.25">
      <c r="X112" s="93"/>
      <c r="Y112" s="93"/>
      <c r="AA112" s="93"/>
      <c r="AB112" s="93"/>
      <c r="AQ112" s="104"/>
      <c r="AU112" s="104"/>
      <c r="BZ112" s="104"/>
      <c r="CD112" s="104"/>
      <c r="CH112" s="104"/>
    </row>
    <row r="113" spans="23:86" x14ac:dyDescent="0.25">
      <c r="AP113" s="201"/>
      <c r="AQ113" s="165"/>
      <c r="AU113" s="165"/>
      <c r="BZ113" s="165"/>
      <c r="CD113" s="165"/>
      <c r="CH113" s="165"/>
    </row>
    <row r="114" spans="23:86" x14ac:dyDescent="0.25">
      <c r="AB114" s="201"/>
      <c r="AD114" s="201"/>
      <c r="AP114" s="201"/>
    </row>
    <row r="115" spans="23:86" x14ac:dyDescent="0.25">
      <c r="AB115" s="201"/>
      <c r="AD115" s="201"/>
      <c r="AE115" s="201"/>
      <c r="AF115" s="201"/>
      <c r="AG115" s="201"/>
    </row>
    <row r="116" spans="23:86" x14ac:dyDescent="0.25">
      <c r="AB116" s="51"/>
      <c r="AD116" s="201"/>
      <c r="AE116" s="93"/>
      <c r="AF116" s="93"/>
      <c r="AG116" s="93"/>
    </row>
    <row r="117" spans="23:86" x14ac:dyDescent="0.25">
      <c r="AB117" s="201"/>
      <c r="AD117" s="51"/>
      <c r="AE117" s="51"/>
    </row>
    <row r="118" spans="23:86" x14ac:dyDescent="0.25">
      <c r="AB118" s="201"/>
    </row>
    <row r="119" spans="23:86" x14ac:dyDescent="0.25">
      <c r="W119" s="51"/>
      <c r="AB119" s="201"/>
    </row>
    <row r="120" spans="23:86" x14ac:dyDescent="0.25">
      <c r="W120" s="51"/>
    </row>
  </sheetData>
  <sheetProtection selectLockedCells="1"/>
  <mergeCells count="62">
    <mergeCell ref="C34:C35"/>
    <mergeCell ref="N31:N32"/>
    <mergeCell ref="EV1:FM1"/>
    <mergeCell ref="CU6:CU10"/>
    <mergeCell ref="CU11:CU15"/>
    <mergeCell ref="CU16:CU20"/>
    <mergeCell ref="B1:J1"/>
    <mergeCell ref="M1:U1"/>
    <mergeCell ref="B3:J3"/>
    <mergeCell ref="B12:J12"/>
    <mergeCell ref="B21:J21"/>
    <mergeCell ref="B29:J29"/>
    <mergeCell ref="C26:C27"/>
    <mergeCell ref="C23:C24"/>
    <mergeCell ref="L21:V21"/>
    <mergeCell ref="L29:V29"/>
    <mergeCell ref="C6:C7"/>
    <mergeCell ref="C9:C10"/>
    <mergeCell ref="C14:C15"/>
    <mergeCell ref="N17:N18"/>
    <mergeCell ref="N14:N15"/>
    <mergeCell ref="C17:C18"/>
    <mergeCell ref="C31:C32"/>
    <mergeCell ref="EV30:EW30"/>
    <mergeCell ref="EV31:EW31"/>
    <mergeCell ref="EX28:EY28"/>
    <mergeCell ref="EX29:EY29"/>
    <mergeCell ref="EX30:EY30"/>
    <mergeCell ref="EV28:EW28"/>
    <mergeCell ref="FD27:FE27"/>
    <mergeCell ref="FD28:FE28"/>
    <mergeCell ref="FD29:FE29"/>
    <mergeCell ref="FD30:FE30"/>
    <mergeCell ref="FD31:FE31"/>
    <mergeCell ref="M3:U3"/>
    <mergeCell ref="M12:U12"/>
    <mergeCell ref="FB32:FC32"/>
    <mergeCell ref="EX27:EY27"/>
    <mergeCell ref="EV29:EW29"/>
    <mergeCell ref="N9:N10"/>
    <mergeCell ref="N6:N7"/>
    <mergeCell ref="N23:N24"/>
    <mergeCell ref="EV27:EW27"/>
    <mergeCell ref="FB27:FC27"/>
    <mergeCell ref="FB28:FC28"/>
    <mergeCell ref="FB29:FC29"/>
    <mergeCell ref="FB30:FC30"/>
    <mergeCell ref="L34:V34"/>
    <mergeCell ref="N36:N37"/>
    <mergeCell ref="FB31:FC31"/>
    <mergeCell ref="EX31:EY31"/>
    <mergeCell ref="EX32:EY32"/>
    <mergeCell ref="FD32:FE32"/>
    <mergeCell ref="FD33:FE33"/>
    <mergeCell ref="FB34:FC34"/>
    <mergeCell ref="FD34:FE34"/>
    <mergeCell ref="EV33:EW33"/>
    <mergeCell ref="EX33:EY33"/>
    <mergeCell ref="EV34:EW34"/>
    <mergeCell ref="EX34:EY34"/>
    <mergeCell ref="FB33:FC33"/>
    <mergeCell ref="EV32:EW32"/>
  </mergeCells>
  <phoneticPr fontId="0" type="noConversion"/>
  <pageMargins left="0.17" right="0.25" top="0.6" bottom="0.7480314960629921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24"/>
  <sheetViews>
    <sheetView showGridLines="0" tabSelected="1" workbookViewId="0">
      <selection activeCell="H16" sqref="H16"/>
    </sheetView>
  </sheetViews>
  <sheetFormatPr baseColWidth="10" defaultColWidth="11.42578125" defaultRowHeight="12.75" x14ac:dyDescent="0.25"/>
  <cols>
    <col min="1" max="1" width="1.140625" style="49" customWidth="1"/>
    <col min="2" max="2" width="6.85546875" style="49" customWidth="1"/>
    <col min="3" max="3" width="33.7109375" style="49" customWidth="1"/>
    <col min="4" max="4" width="9.5703125" style="51" customWidth="1"/>
    <col min="5" max="6" width="9.5703125" style="49" customWidth="1"/>
    <col min="7" max="8" width="9.7109375" style="49" customWidth="1"/>
    <col min="9" max="9" width="7.85546875" style="49" customWidth="1"/>
    <col min="10" max="10" width="5.7109375" style="49" customWidth="1"/>
    <col min="11" max="11" width="5.7109375" style="49" hidden="1" customWidth="1"/>
    <col min="12" max="12" width="18.42578125" style="232" customWidth="1"/>
    <col min="13" max="13" width="6.7109375" style="49" customWidth="1"/>
    <col min="14" max="14" width="7.7109375" style="51" customWidth="1"/>
    <col min="15" max="15" width="7.7109375" style="49" customWidth="1"/>
    <col min="16" max="16" width="7.7109375" style="224" customWidth="1"/>
    <col min="17" max="20" width="7.7109375" style="49" customWidth="1"/>
    <col min="21" max="21" width="4.28515625" style="49" bestFit="1" customWidth="1"/>
    <col min="22" max="22" width="2.5703125" style="49" customWidth="1"/>
    <col min="23" max="16384" width="11.42578125" style="49"/>
  </cols>
  <sheetData>
    <row r="1" spans="1:24" ht="23.25" x14ac:dyDescent="0.25">
      <c r="B1" s="339" t="s">
        <v>176</v>
      </c>
      <c r="C1" s="340"/>
      <c r="D1" s="340"/>
      <c r="E1" s="340"/>
      <c r="F1" s="340"/>
      <c r="G1" s="340"/>
      <c r="H1" s="340"/>
      <c r="I1" s="341"/>
      <c r="K1" s="50"/>
      <c r="L1" s="206" t="s">
        <v>493</v>
      </c>
      <c r="M1" s="206" t="s">
        <v>494</v>
      </c>
      <c r="N1" s="206" t="s">
        <v>495</v>
      </c>
      <c r="O1" s="206" t="s">
        <v>185</v>
      </c>
      <c r="P1" s="228" t="s">
        <v>154</v>
      </c>
      <c r="Q1" s="206" t="s">
        <v>496</v>
      </c>
      <c r="R1" s="205"/>
      <c r="S1" s="205"/>
      <c r="T1" s="205"/>
      <c r="U1" s="50"/>
      <c r="V1" s="50"/>
      <c r="W1" s="50"/>
      <c r="X1" s="50"/>
    </row>
    <row r="2" spans="1:24" ht="4.5" customHeight="1" x14ac:dyDescent="0.25">
      <c r="D2" s="189"/>
      <c r="E2" s="42"/>
      <c r="F2" s="42"/>
      <c r="M2" s="51"/>
      <c r="N2" s="49"/>
    </row>
    <row r="3" spans="1:24" x14ac:dyDescent="0.25">
      <c r="A3" s="51"/>
      <c r="C3" s="52" t="s">
        <v>177</v>
      </c>
      <c r="D3" s="336" t="str">
        <f>IF(Tirage!H5="","",Tirage!H5)</f>
        <v>Eliminatoire 2ème tour</v>
      </c>
      <c r="E3" s="336"/>
      <c r="F3" s="336"/>
      <c r="K3" s="342" t="str">
        <f>Match!B3</f>
        <v>Tour n°1</v>
      </c>
      <c r="L3" s="233" t="str">
        <f>Match!$B$6</f>
        <v>DAVID MICHEL</v>
      </c>
      <c r="M3" s="41">
        <f>IF(Match!$D6="","",Match!$D6)</f>
        <v>60</v>
      </c>
      <c r="N3" s="41">
        <f>IF(Match!$E6="","",Match!$E6)</f>
        <v>38</v>
      </c>
      <c r="O3" s="41">
        <f>IF(Match!$F6="","",Match!$F6)</f>
        <v>6</v>
      </c>
      <c r="P3" s="229">
        <f>IF(N3="","",M3/N3)</f>
        <v>1.5789473684210527</v>
      </c>
      <c r="Q3" s="40">
        <f>IF(Match!$J6="","",Match!$J6)</f>
        <v>2</v>
      </c>
      <c r="R3" s="202"/>
      <c r="S3" s="43"/>
      <c r="T3" s="43"/>
    </row>
    <row r="4" spans="1:24" x14ac:dyDescent="0.25">
      <c r="C4" s="52" t="s">
        <v>178</v>
      </c>
      <c r="D4" s="336" t="str">
        <f>IF(Tirage!H6="","",Tirage!H6)</f>
        <v>BANDE</v>
      </c>
      <c r="E4" s="336"/>
      <c r="F4" s="336"/>
      <c r="K4" s="342"/>
      <c r="L4" s="233" t="str">
        <f>Match!$B$7</f>
        <v>LENGAIGNE DANIEL</v>
      </c>
      <c r="M4" s="41">
        <f>IF(Match!$D7="","",Match!$D7)</f>
        <v>39</v>
      </c>
      <c r="N4" s="41">
        <f>IF(Match!$E7="","",Match!$E7)</f>
        <v>38</v>
      </c>
      <c r="O4" s="41">
        <f>IF(Match!$F7="","",Match!$F7)</f>
        <v>6</v>
      </c>
      <c r="P4" s="229">
        <f t="shared" ref="P4:P6" si="0">IF(N4="","",M4/N4)</f>
        <v>1.0263157894736843</v>
      </c>
      <c r="Q4" s="40">
        <f>IF(Match!$J7="","",Match!$J7)</f>
        <v>0</v>
      </c>
      <c r="R4" s="202"/>
      <c r="S4" s="43"/>
      <c r="T4" s="43"/>
    </row>
    <row r="5" spans="1:24" x14ac:dyDescent="0.25">
      <c r="C5" s="52" t="str">
        <f>Tirage!F7</f>
        <v>Catégorie</v>
      </c>
      <c r="D5" s="336" t="str">
        <f>IF(Tirage!H7="","",Tirage!H7)</f>
        <v>REGIONAL 1</v>
      </c>
      <c r="E5" s="336"/>
      <c r="F5" s="336"/>
      <c r="K5" s="342"/>
      <c r="L5" s="233" t="str">
        <f>Match!$B$9</f>
        <v>CARDON CHRISTIAN</v>
      </c>
      <c r="M5" s="41">
        <f>IF(Match!$D9="","",Match!$D9)</f>
        <v>60</v>
      </c>
      <c r="N5" s="41">
        <f>IF(Match!$E9="","",Match!$E9)</f>
        <v>37</v>
      </c>
      <c r="O5" s="41">
        <f>IF(Match!$F9="","",Match!$F9)</f>
        <v>8</v>
      </c>
      <c r="P5" s="229">
        <f t="shared" si="0"/>
        <v>1.6216216216216217</v>
      </c>
      <c r="Q5" s="40">
        <f>IF(Match!$J9="","",Match!$J9)</f>
        <v>2</v>
      </c>
      <c r="R5" s="202"/>
      <c r="S5" s="43"/>
      <c r="T5" s="43"/>
    </row>
    <row r="6" spans="1:24" x14ac:dyDescent="0.25">
      <c r="C6" s="52" t="s">
        <v>179</v>
      </c>
      <c r="D6" s="336" t="str">
        <f>IF(Tirage!H8="","",Tirage!H8)</f>
        <v>B.C CREVECOEUR</v>
      </c>
      <c r="E6" s="336"/>
      <c r="F6" s="336"/>
      <c r="K6" s="342"/>
      <c r="L6" s="233" t="str">
        <f>Match!$B$10</f>
        <v>GERONIMI THIERRY</v>
      </c>
      <c r="M6" s="41">
        <f>IF(Match!$D10="","",Match!$D10)</f>
        <v>49</v>
      </c>
      <c r="N6" s="41">
        <f>IF(Match!$E10="","",Match!$E10)</f>
        <v>37</v>
      </c>
      <c r="O6" s="41">
        <f>IF(Match!$F10="","",Match!$F10)</f>
        <v>9</v>
      </c>
      <c r="P6" s="229">
        <f t="shared" si="0"/>
        <v>1.3243243243243243</v>
      </c>
      <c r="Q6" s="40">
        <f>IF(Match!$J10="","",Match!$J10)</f>
        <v>0</v>
      </c>
      <c r="R6" s="202"/>
      <c r="S6" s="43"/>
      <c r="T6" s="43"/>
    </row>
    <row r="7" spans="1:24" x14ac:dyDescent="0.25">
      <c r="C7" s="52" t="s">
        <v>180</v>
      </c>
      <c r="D7" s="343">
        <f>IF(Tirage!H9="","",Tirage!H9)</f>
        <v>45612</v>
      </c>
      <c r="E7" s="343"/>
      <c r="F7" s="343"/>
      <c r="K7" s="53"/>
      <c r="L7" s="337"/>
      <c r="M7" s="337"/>
      <c r="N7" s="337"/>
      <c r="O7" s="337"/>
      <c r="P7" s="337"/>
      <c r="Q7" s="337"/>
    </row>
    <row r="8" spans="1:24" x14ac:dyDescent="0.25">
      <c r="C8" s="52" t="s">
        <v>12</v>
      </c>
      <c r="D8" s="343" t="str">
        <f>IF(Tirage!H13="","",Tirage!H13)</f>
        <v>BILLY DAVID</v>
      </c>
      <c r="E8" s="343"/>
      <c r="F8" s="343"/>
      <c r="K8" s="342" t="str">
        <f>Match!B12</f>
        <v>Tour n°2</v>
      </c>
      <c r="L8" s="233" t="str">
        <f>Match!$B$14</f>
        <v>FAREZ MICHEL</v>
      </c>
      <c r="M8" s="41">
        <f>IF(Match!$D14="","",Match!$D14)</f>
        <v>51</v>
      </c>
      <c r="N8" s="41">
        <f>IF(Match!$E14="","",Match!$E14)</f>
        <v>40</v>
      </c>
      <c r="O8" s="41">
        <f>IF(Match!$F14="","",Match!$F14)</f>
        <v>5</v>
      </c>
      <c r="P8" s="229">
        <f>IF(N8="","",M8/N8)</f>
        <v>1.2749999999999999</v>
      </c>
      <c r="Q8" s="40">
        <f>IF(Match!$J14="","",Match!$J14)</f>
        <v>2</v>
      </c>
      <c r="R8" s="202"/>
      <c r="S8" s="43"/>
      <c r="T8" s="43"/>
    </row>
    <row r="9" spans="1:24" ht="14.25" customHeight="1" x14ac:dyDescent="0.25">
      <c r="K9" s="342"/>
      <c r="L9" s="233" t="str">
        <f>Match!$B$15</f>
        <v>LENGAIGNE DANIEL</v>
      </c>
      <c r="M9" s="41">
        <f>IF(Match!$D15="","",Match!$D15)</f>
        <v>42</v>
      </c>
      <c r="N9" s="41">
        <f>IF(Match!$E15="","",Match!$E15)</f>
        <v>40</v>
      </c>
      <c r="O9" s="41">
        <f>IF(Match!$F15="","",Match!$F15)</f>
        <v>8</v>
      </c>
      <c r="P9" s="229">
        <f t="shared" ref="P9:P11" si="1">IF(N9="","",M9/N9)</f>
        <v>1.05</v>
      </c>
      <c r="Q9" s="40">
        <f>IF(Match!$J15="","",Match!$J15)</f>
        <v>0</v>
      </c>
      <c r="R9" s="202"/>
      <c r="S9" s="43"/>
      <c r="T9" s="43"/>
    </row>
    <row r="10" spans="1:24" ht="13.5" thickBot="1" x14ac:dyDescent="0.3">
      <c r="K10" s="342"/>
      <c r="L10" s="233" t="str">
        <f>Match!$B$17</f>
        <v>BLANCHARD THIERRY</v>
      </c>
      <c r="M10" s="41">
        <f>IF(Match!$D17="","",Match!$D17)</f>
        <v>60</v>
      </c>
      <c r="N10" s="41">
        <f>IF(Match!$E17="","",Match!$E17)</f>
        <v>37</v>
      </c>
      <c r="O10" s="41">
        <f>IF(Match!$F17="","",Match!$F17)</f>
        <v>11</v>
      </c>
      <c r="P10" s="229">
        <f t="shared" si="1"/>
        <v>1.6216216216216217</v>
      </c>
      <c r="Q10" s="40">
        <f>IF(Match!$J17="","",Match!$J17)</f>
        <v>2</v>
      </c>
      <c r="R10" s="202"/>
      <c r="S10" s="43"/>
      <c r="T10" s="43"/>
    </row>
    <row r="11" spans="1:24" x14ac:dyDescent="0.25">
      <c r="B11" s="54" t="s">
        <v>181</v>
      </c>
      <c r="C11" s="55" t="s">
        <v>182</v>
      </c>
      <c r="D11" s="56" t="s">
        <v>183</v>
      </c>
      <c r="E11" s="55" t="s">
        <v>184</v>
      </c>
      <c r="F11" s="55" t="s">
        <v>185</v>
      </c>
      <c r="G11" s="55" t="s">
        <v>143</v>
      </c>
      <c r="H11" s="55" t="s">
        <v>154</v>
      </c>
      <c r="I11" s="57" t="s">
        <v>183</v>
      </c>
      <c r="K11" s="342"/>
      <c r="L11" s="233" t="str">
        <f>Match!$B$18</f>
        <v>GERONIMI THIERRY</v>
      </c>
      <c r="M11" s="41">
        <f>IF(Match!$D18="","",Match!$D18)</f>
        <v>42</v>
      </c>
      <c r="N11" s="41">
        <f>IF(Match!$E18="","",Match!$E18)</f>
        <v>37</v>
      </c>
      <c r="O11" s="41">
        <f>IF(Match!$F18="","",Match!$F18)</f>
        <v>5</v>
      </c>
      <c r="P11" s="229">
        <f t="shared" si="1"/>
        <v>1.1351351351351351</v>
      </c>
      <c r="Q11" s="40">
        <f>IF(Match!$J18="","",Match!$J18)</f>
        <v>0</v>
      </c>
      <c r="R11" s="202"/>
      <c r="S11" s="43"/>
      <c r="T11" s="43"/>
    </row>
    <row r="12" spans="1:24" x14ac:dyDescent="0.25">
      <c r="B12" s="58">
        <f t="shared" ref="B12:B19" si="2">IF(ISERROR(B72),,B72)</f>
        <v>1</v>
      </c>
      <c r="C12" s="59" t="str">
        <f>IF(OR($E$58=0,$E$58=""),"",$C$72)</f>
        <v>DAVID MICHEL</v>
      </c>
      <c r="D12" s="60">
        <f>IF(OR($E$58=0,$E$58=""),"",$D$72)</f>
        <v>120</v>
      </c>
      <c r="E12" s="61">
        <f>IF(OR($E$58=0,$E$58=""),"",$E$72)</f>
        <v>74</v>
      </c>
      <c r="F12" s="61">
        <f>IF(OR($E$58=0,$E$58=""),"",$I$72)</f>
        <v>6</v>
      </c>
      <c r="G12" s="62">
        <f>IF(OR($E$58=0,$E$58=""),"",$H$72)</f>
        <v>1.6666666666666667</v>
      </c>
      <c r="H12" s="62">
        <f>IF(OR($E$58=0,$E$58=""),"",$G$72)</f>
        <v>1.6216216216216217</v>
      </c>
      <c r="I12" s="63">
        <f>IF(OR($E$58=0,$E$58=""),"",$F$72)</f>
        <v>4</v>
      </c>
      <c r="L12" s="334"/>
      <c r="M12" s="334"/>
      <c r="N12" s="334"/>
      <c r="O12" s="334"/>
      <c r="P12" s="334"/>
      <c r="Q12" s="334"/>
      <c r="R12" s="53"/>
      <c r="S12" s="53"/>
      <c r="T12" s="53"/>
    </row>
    <row r="13" spans="1:24" x14ac:dyDescent="0.25">
      <c r="B13" s="64">
        <f t="shared" si="2"/>
        <v>2</v>
      </c>
      <c r="C13" s="65" t="str">
        <f>IF(OR($E$59=0,$E$59=""),"",$C$73)</f>
        <v>BLANCHARD THIERRY</v>
      </c>
      <c r="D13" s="66">
        <f>IF(OR($E$59=0,$E$59=""),"",$D$73)</f>
        <v>118</v>
      </c>
      <c r="E13" s="67">
        <f>IF(OR($E$59=0,$E$59=""),"",$E$73)</f>
        <v>77</v>
      </c>
      <c r="F13" s="67">
        <f>IF(OR($E$59=0,$E$59=""),"",$I$73)</f>
        <v>14</v>
      </c>
      <c r="G13" s="68">
        <f>IF(OR($E$59=0,$E$59=""),"",$H$73)</f>
        <v>1.6216216216216217</v>
      </c>
      <c r="H13" s="68">
        <f>IF(OR($E$59=0,$E$59=""),"",$G$73)</f>
        <v>1.5324675324675325</v>
      </c>
      <c r="I13" s="69">
        <f>IF(OR($E$59=0,$E$59=""),"",$F$73)</f>
        <v>4</v>
      </c>
      <c r="K13" s="342" t="str">
        <f>Match!B21</f>
        <v>Tour n°3</v>
      </c>
      <c r="L13" s="233" t="str">
        <f>Match!$B$23</f>
        <v>FAREZ MICHEL</v>
      </c>
      <c r="M13" s="41">
        <f>IF(Match!$D23="","",Match!$D23)</f>
        <v>49</v>
      </c>
      <c r="N13" s="41">
        <f>IF(Match!$E23="","",Match!$E23)</f>
        <v>36</v>
      </c>
      <c r="O13" s="41">
        <f>IF(Match!$F23="","",Match!$F23)</f>
        <v>7</v>
      </c>
      <c r="P13" s="229">
        <f>IF(N13="","",M13/N13)</f>
        <v>1.3611111111111112</v>
      </c>
      <c r="Q13" s="40">
        <f>IF(Match!$J23="","",Match!$J23)</f>
        <v>0</v>
      </c>
      <c r="R13" s="202"/>
      <c r="S13" s="43"/>
      <c r="T13" s="43"/>
    </row>
    <row r="14" spans="1:24" x14ac:dyDescent="0.25">
      <c r="B14" s="64">
        <f t="shared" si="2"/>
        <v>3</v>
      </c>
      <c r="C14" s="65" t="str">
        <f>IF(OR($E$60=0,$E$60=""),"",$C$74)</f>
        <v>CARDON CHRISTIAN</v>
      </c>
      <c r="D14" s="66">
        <f>IF(OR($E$60=0,$E$60=""),"",$D$74)</f>
        <v>116</v>
      </c>
      <c r="E14" s="67">
        <f>IF(OR($E$60=0,$E$60=""),"",$E$74)</f>
        <v>77</v>
      </c>
      <c r="F14" s="67">
        <f>IF(OR($E$60=0,$E$60=""),"",$I$74)</f>
        <v>8</v>
      </c>
      <c r="G14" s="68">
        <f>IF(OR($E$60=0,$E$60=""),"",$H$74)</f>
        <v>1.6216216216216217</v>
      </c>
      <c r="H14" s="68">
        <f>IF(OR($E$60=0,$E$60=""),"",$G$74)</f>
        <v>1.5064935064935066</v>
      </c>
      <c r="I14" s="69">
        <f>IF(OR($E$60=0,$E$60=""),"",$F$74)</f>
        <v>2</v>
      </c>
      <c r="K14" s="342"/>
      <c r="L14" s="233" t="str">
        <f>Match!$B$24</f>
        <v>DAVID MICHEL</v>
      </c>
      <c r="M14" s="41">
        <f>IF(Match!$D24="","",Match!$D24)</f>
        <v>60</v>
      </c>
      <c r="N14" s="41">
        <f>IF(Match!$E24="","",Match!$E24)</f>
        <v>36</v>
      </c>
      <c r="O14" s="41">
        <f>IF(Match!$F24="","",Match!$F24)</f>
        <v>5</v>
      </c>
      <c r="P14" s="229">
        <f t="shared" ref="P14:P16" si="3">IF(N14="","",M14/N14)</f>
        <v>1.6666666666666667</v>
      </c>
      <c r="Q14" s="40">
        <f>IF(Match!$J24="","",Match!$J24)</f>
        <v>2</v>
      </c>
      <c r="R14" s="202"/>
      <c r="S14" s="43"/>
      <c r="T14" s="43"/>
    </row>
    <row r="15" spans="1:24" x14ac:dyDescent="0.25">
      <c r="B15" s="64">
        <f t="shared" si="2"/>
        <v>4</v>
      </c>
      <c r="C15" s="65" t="str">
        <f>IF(OR($E$61=0,$E$61=""),"",$C$75)</f>
        <v>FAREZ MICHEL</v>
      </c>
      <c r="D15" s="66">
        <f>IF(OR($E$61=0,$E$61=""),"",$D$75)</f>
        <v>100</v>
      </c>
      <c r="E15" s="67">
        <f>IF(OR($E$61=0,$E$61=""),"",$E$75)</f>
        <v>76</v>
      </c>
      <c r="F15" s="67">
        <f>IF(OR($E$61=0,$E$61=""),"",$I$75)</f>
        <v>7</v>
      </c>
      <c r="G15" s="68">
        <f>IF(OR($E$61=0,$E$61=""),"",$H$75)</f>
        <v>1.2749999999999999</v>
      </c>
      <c r="H15" s="68">
        <f>IF(OR($E$61=0,$E$61=""),"",$G$75)</f>
        <v>1.3157894736842106</v>
      </c>
      <c r="I15" s="69">
        <f>IF(OR($E$61=0,$E$61=""),"",$F$75)</f>
        <v>2</v>
      </c>
      <c r="K15" s="342"/>
      <c r="L15" s="233" t="str">
        <f>Match!$B$26</f>
        <v>BLANCHARD THIERRY</v>
      </c>
      <c r="M15" s="41">
        <f>IF(Match!$D26="","",Match!$D26)</f>
        <v>58</v>
      </c>
      <c r="N15" s="41">
        <f>IF(Match!$E26="","",Match!$E26)</f>
        <v>40</v>
      </c>
      <c r="O15" s="41">
        <f>IF(Match!$F26="","",Match!$F26)</f>
        <v>14</v>
      </c>
      <c r="P15" s="229">
        <f t="shared" si="3"/>
        <v>1.45</v>
      </c>
      <c r="Q15" s="40">
        <f>IF(Match!$J26="","",Match!$J26)</f>
        <v>2</v>
      </c>
      <c r="R15" s="202"/>
      <c r="S15" s="43"/>
      <c r="T15" s="43"/>
    </row>
    <row r="16" spans="1:24" x14ac:dyDescent="0.25">
      <c r="B16" s="64">
        <f t="shared" si="2"/>
        <v>5</v>
      </c>
      <c r="C16" s="65" t="str">
        <f>IF(OR($E$62=0,$E$62=""),"",$C$76)</f>
        <v>GERONIMI THIERRY</v>
      </c>
      <c r="D16" s="66">
        <f>IF(OR($E$62=0,$E$62=""),"",$D$76)</f>
        <v>91</v>
      </c>
      <c r="E16" s="67">
        <f>IF(OR($E$62=0,$E$62=""),"",$E$76)</f>
        <v>74</v>
      </c>
      <c r="F16" s="67">
        <f>IF(OR($E$62=0,$E$62=""),"",$I$76)</f>
        <v>9</v>
      </c>
      <c r="G16" s="68">
        <f>IF(OR($E$62=0,$E$62=""),"",$H$76)</f>
        <v>0</v>
      </c>
      <c r="H16" s="68">
        <f>IF(OR($E$62=0,$E$62=""),"",$G$76)</f>
        <v>1.2297297297297298</v>
      </c>
      <c r="I16" s="69">
        <f>IF(OR($E$62=0,$E$62=""),"",$F$76)</f>
        <v>0</v>
      </c>
      <c r="K16" s="342"/>
      <c r="L16" s="233" t="str">
        <f>Match!$B$27</f>
        <v>CARDON CHRISTIAN</v>
      </c>
      <c r="M16" s="41">
        <f>IF(Match!$D27="","",Match!$D27)</f>
        <v>56</v>
      </c>
      <c r="N16" s="41">
        <f>IF(Match!$E27="","",Match!$E27)</f>
        <v>40</v>
      </c>
      <c r="O16" s="41" t="str">
        <f>IF(Match!$F27="","",Match!$F27)</f>
        <v/>
      </c>
      <c r="P16" s="229">
        <f t="shared" si="3"/>
        <v>1.4</v>
      </c>
      <c r="Q16" s="40">
        <f>IF(Match!$J27="","",Match!$J27)</f>
        <v>0</v>
      </c>
      <c r="R16" s="202"/>
      <c r="S16" s="43"/>
      <c r="T16" s="43"/>
    </row>
    <row r="17" spans="1:22" x14ac:dyDescent="0.25">
      <c r="B17" s="64">
        <f t="shared" si="2"/>
        <v>6</v>
      </c>
      <c r="C17" s="65" t="str">
        <f>IF(OR($E$63=0,$E$63=""),"",$C$77)</f>
        <v>LENGAIGNE DANIEL</v>
      </c>
      <c r="D17" s="66">
        <f>IF(OR($E$63=0,$E$63=""),"",$D$77)</f>
        <v>81</v>
      </c>
      <c r="E17" s="67">
        <f>IF(OR($E$63=0,$E$63=""),"",$E$77)</f>
        <v>78</v>
      </c>
      <c r="F17" s="67">
        <f>IF(OR($E$63=0,$E$63=""),"",$I$77)</f>
        <v>8</v>
      </c>
      <c r="G17" s="68">
        <f>IF(OR($E$63=0,$E$63=""),"",$H$77)</f>
        <v>0</v>
      </c>
      <c r="H17" s="68">
        <f>IF(OR($E$63=0,$E$63=""),"",$G$77)</f>
        <v>1.0384615384615385</v>
      </c>
      <c r="I17" s="69">
        <f>IF(OR($E$63=0,$E$63=""),"",$F$77)</f>
        <v>0</v>
      </c>
      <c r="L17" s="332"/>
      <c r="M17" s="332"/>
      <c r="N17" s="332"/>
      <c r="O17" s="332"/>
      <c r="P17" s="332"/>
      <c r="Q17" s="332"/>
      <c r="R17" s="44"/>
      <c r="S17" s="44"/>
      <c r="T17" s="45"/>
    </row>
    <row r="18" spans="1:22" x14ac:dyDescent="0.25">
      <c r="B18" s="64">
        <f t="shared" si="2"/>
        <v>7</v>
      </c>
      <c r="C18" s="65" t="str">
        <f>IF(OR($E$64=0,$E$64=""),"",$C$78)</f>
        <v/>
      </c>
      <c r="D18" s="66" t="str">
        <f>IF(OR($E$64=0,$E$64=""),"",$D$78)</f>
        <v/>
      </c>
      <c r="E18" s="67" t="str">
        <f>IF(OR($E$64=0,$E$64=""),"",$E$78)</f>
        <v/>
      </c>
      <c r="F18" s="67" t="str">
        <f>IF(OR($E$64=0,$E$64=""),"",$I$78)</f>
        <v/>
      </c>
      <c r="G18" s="68" t="str">
        <f>IF(OR($E$64=0,$E$64=""),"",$H$78)</f>
        <v/>
      </c>
      <c r="H18" s="68" t="str">
        <f>IF(OR($E$64=0,$E$64=""),"",$G$78)</f>
        <v/>
      </c>
      <c r="I18" s="69" t="str">
        <f>IF(OR($E$64=0,$E$64=""),"",$F$78)</f>
        <v/>
      </c>
      <c r="K18" s="342" t="str">
        <f>Match!B29</f>
        <v>-</v>
      </c>
      <c r="L18" s="233" t="str">
        <f>Match!$B$31</f>
        <v xml:space="preserve"> </v>
      </c>
      <c r="M18" s="41" t="str">
        <f>IF(Match!$D31="","",Match!$D31)</f>
        <v/>
      </c>
      <c r="N18" s="41" t="str">
        <f>IF(Match!$E31="","",Match!$E31)</f>
        <v/>
      </c>
      <c r="O18" s="41" t="str">
        <f>IF(Match!$F31="","",Match!$F31)</f>
        <v/>
      </c>
      <c r="P18" s="229" t="str">
        <f>IF(N18="","",M18/N18)</f>
        <v/>
      </c>
      <c r="Q18" s="40" t="str">
        <f>IF(Match!$J31="","",Match!$J31)</f>
        <v/>
      </c>
      <c r="R18" s="202"/>
      <c r="S18" s="43"/>
      <c r="T18" s="43"/>
    </row>
    <row r="19" spans="1:22" ht="13.5" thickBot="1" x14ac:dyDescent="0.3">
      <c r="B19" s="70">
        <f t="shared" si="2"/>
        <v>8</v>
      </c>
      <c r="C19" s="71" t="str">
        <f>IF(OR($E$65=0,$E$65=""),"",$C$79)</f>
        <v/>
      </c>
      <c r="D19" s="72" t="str">
        <f>IF(OR($E$65=0,$E$65=""),"",$D$79)</f>
        <v/>
      </c>
      <c r="E19" s="73" t="str">
        <f>IF(OR($E$65=0,$E$65=""),"",$E$79)</f>
        <v/>
      </c>
      <c r="F19" s="73" t="str">
        <f>IF(OR($E$65=0,$E$65=""),"",F79)</f>
        <v/>
      </c>
      <c r="G19" s="74" t="str">
        <f>IF(OR($E$65=0,$E$65=""),"",$H$79)</f>
        <v/>
      </c>
      <c r="H19" s="74" t="str">
        <f>IF(OR($E$65=0,$E$65=""),"",$G$79)</f>
        <v/>
      </c>
      <c r="I19" s="75" t="str">
        <f>IF(OR($E$65=0,$E$65=""),"",$F$79)</f>
        <v/>
      </c>
      <c r="K19" s="342"/>
      <c r="L19" s="233" t="str">
        <f>Match!$B$32</f>
        <v xml:space="preserve"> </v>
      </c>
      <c r="M19" s="41" t="str">
        <f>IF(Match!$D32="","",Match!$D32)</f>
        <v/>
      </c>
      <c r="N19" s="41" t="str">
        <f>IF(Match!$E32="","",Match!$E32)</f>
        <v/>
      </c>
      <c r="O19" s="41" t="str">
        <f>IF(Match!$F32="","",Match!$F32)</f>
        <v/>
      </c>
      <c r="P19" s="229" t="str">
        <f t="shared" ref="P19:P21" si="4">IF(N19="","",M19/N19)</f>
        <v/>
      </c>
      <c r="Q19" s="40" t="str">
        <f>IF(Match!$J32="","",Match!$J32)</f>
        <v/>
      </c>
      <c r="R19" s="202"/>
      <c r="S19" s="43"/>
      <c r="T19" s="43"/>
    </row>
    <row r="20" spans="1:22" x14ac:dyDescent="0.25">
      <c r="K20" s="342"/>
      <c r="L20" s="233" t="str">
        <f>Match!$B$34</f>
        <v xml:space="preserve"> </v>
      </c>
      <c r="M20" s="41" t="str">
        <f>IF(Match!$D34="","",Match!$D34)</f>
        <v/>
      </c>
      <c r="N20" s="41" t="str">
        <f>IF(Match!$E34="","",Match!$E34)</f>
        <v/>
      </c>
      <c r="O20" s="41" t="str">
        <f>IF(Match!$F34="","",Match!$F34)</f>
        <v/>
      </c>
      <c r="P20" s="229" t="str">
        <f t="shared" si="4"/>
        <v/>
      </c>
      <c r="Q20" s="40" t="str">
        <f>IF(Match!$J34="","",Match!$J34)</f>
        <v/>
      </c>
      <c r="R20" s="202"/>
      <c r="S20" s="43"/>
      <c r="T20" s="43"/>
    </row>
    <row r="21" spans="1:22" ht="13.5" thickBot="1" x14ac:dyDescent="0.3">
      <c r="K21" s="342"/>
      <c r="L21" s="233" t="str">
        <f>Match!$B$35</f>
        <v xml:space="preserve"> </v>
      </c>
      <c r="M21" s="41" t="str">
        <f>IF(Match!$D35="","",Match!$D35)</f>
        <v/>
      </c>
      <c r="N21" s="41" t="str">
        <f>IF(Match!$E35="","",Match!$E35)</f>
        <v/>
      </c>
      <c r="O21" s="41" t="str">
        <f>IF(Match!$F35="","",Match!$F35)</f>
        <v/>
      </c>
      <c r="P21" s="229" t="str">
        <f t="shared" si="4"/>
        <v/>
      </c>
      <c r="Q21" s="40" t="str">
        <f>IF(Match!$J35="","",Match!$J35)</f>
        <v/>
      </c>
      <c r="R21" s="202"/>
      <c r="S21" s="43"/>
      <c r="T21" s="43"/>
    </row>
    <row r="22" spans="1:22" x14ac:dyDescent="0.25">
      <c r="B22" s="76" t="s">
        <v>337</v>
      </c>
      <c r="C22" s="77"/>
      <c r="D22" s="78"/>
      <c r="E22" s="77"/>
      <c r="F22" s="77"/>
      <c r="G22" s="77"/>
      <c r="H22" s="77"/>
      <c r="I22" s="79"/>
      <c r="L22" s="333"/>
      <c r="M22" s="333"/>
      <c r="N22" s="333"/>
      <c r="O22" s="333"/>
      <c r="P22" s="333"/>
      <c r="Q22" s="333"/>
      <c r="R22" s="80"/>
      <c r="S22" s="80"/>
      <c r="T22" s="80"/>
    </row>
    <row r="23" spans="1:22" x14ac:dyDescent="0.25">
      <c r="B23" s="344"/>
      <c r="C23" s="345"/>
      <c r="D23" s="345"/>
      <c r="E23" s="345"/>
      <c r="F23" s="345"/>
      <c r="G23" s="345"/>
      <c r="H23" s="345"/>
      <c r="I23" s="346"/>
      <c r="K23" s="342" t="str">
        <f>Match!M3</f>
        <v>-</v>
      </c>
      <c r="L23" s="233" t="str">
        <f>IF(Match!M6="","",Match!$M$6)</f>
        <v xml:space="preserve"> </v>
      </c>
      <c r="M23" s="41" t="str">
        <f>IF(Match!O6="","",Match!$O$6)</f>
        <v/>
      </c>
      <c r="N23" s="40" t="str">
        <f>IF(Match!P6="","",Match!$P$6)</f>
        <v/>
      </c>
      <c r="O23" s="40" t="str">
        <f>IF(Match!Q6="","",Match!$Q$6)</f>
        <v/>
      </c>
      <c r="P23" s="229" t="str">
        <f>IF(N23="","",M23/N23)</f>
        <v/>
      </c>
      <c r="Q23" s="40" t="str">
        <f>IF(Match!U6="","",Match!$U$6)</f>
        <v/>
      </c>
      <c r="R23" s="202"/>
      <c r="S23" s="43"/>
      <c r="T23" s="43"/>
    </row>
    <row r="24" spans="1:22" x14ac:dyDescent="0.25">
      <c r="B24" s="344"/>
      <c r="C24" s="345"/>
      <c r="D24" s="345"/>
      <c r="E24" s="345"/>
      <c r="F24" s="345"/>
      <c r="G24" s="345"/>
      <c r="H24" s="345"/>
      <c r="I24" s="346"/>
      <c r="K24" s="342"/>
      <c r="L24" s="233" t="str">
        <f>IF(Match!M7="","",Match!$M$7)</f>
        <v xml:space="preserve"> </v>
      </c>
      <c r="M24" s="41" t="str">
        <f>IF(Match!O7="","",Match!$O$7)</f>
        <v/>
      </c>
      <c r="N24" s="40" t="str">
        <f>IF(Match!P7="","",Match!$P$7)</f>
        <v/>
      </c>
      <c r="O24" s="40" t="str">
        <f>IF(Match!Q7="","",Match!$Q$7)</f>
        <v/>
      </c>
      <c r="P24" s="229" t="str">
        <f t="shared" ref="P24:P26" si="5">IF(N24="","",M24/N24)</f>
        <v/>
      </c>
      <c r="Q24" s="40" t="str">
        <f>IF(Match!U7="","",Match!$U$7)</f>
        <v/>
      </c>
      <c r="R24" s="202"/>
      <c r="S24" s="43"/>
      <c r="T24" s="43"/>
      <c r="V24" s="42"/>
    </row>
    <row r="25" spans="1:22" x14ac:dyDescent="0.25">
      <c r="B25" s="344"/>
      <c r="C25" s="345"/>
      <c r="D25" s="345"/>
      <c r="E25" s="345"/>
      <c r="F25" s="345"/>
      <c r="G25" s="345"/>
      <c r="H25" s="345"/>
      <c r="I25" s="346"/>
      <c r="K25" s="342"/>
      <c r="L25" s="233" t="str">
        <f>IF(Match!M9="","",Match!$M$9)</f>
        <v xml:space="preserve"> </v>
      </c>
      <c r="M25" s="41" t="str">
        <f>IF(Match!O9="","",Match!$O$9)</f>
        <v/>
      </c>
      <c r="N25" s="40" t="str">
        <f>IF(Match!P9="","",Match!$P$9)</f>
        <v/>
      </c>
      <c r="O25" s="40" t="str">
        <f>IF(Match!Q9="","",Match!$Q$9)</f>
        <v/>
      </c>
      <c r="P25" s="229" t="str">
        <f t="shared" si="5"/>
        <v/>
      </c>
      <c r="Q25" s="40" t="str">
        <f>IF(Match!U9="","",Match!$U$9)</f>
        <v/>
      </c>
      <c r="R25" s="202"/>
      <c r="S25" s="43"/>
      <c r="T25" s="43"/>
    </row>
    <row r="26" spans="1:22" ht="13.5" thickBot="1" x14ac:dyDescent="0.3">
      <c r="B26" s="347"/>
      <c r="C26" s="348"/>
      <c r="D26" s="348"/>
      <c r="E26" s="348"/>
      <c r="F26" s="348"/>
      <c r="G26" s="348"/>
      <c r="H26" s="348"/>
      <c r="I26" s="349"/>
      <c r="K26" s="342"/>
      <c r="L26" s="233" t="str">
        <f>IF(Match!M10="","",Match!$M$10)</f>
        <v xml:space="preserve"> </v>
      </c>
      <c r="M26" s="41" t="str">
        <f>IF(Match!O10="","",Match!$O$10)</f>
        <v/>
      </c>
      <c r="N26" s="40" t="str">
        <f>IF(Match!P10="","",Match!$P$10)</f>
        <v/>
      </c>
      <c r="O26" s="40" t="str">
        <f>IF(Match!Q10="","",Match!$Q10)</f>
        <v/>
      </c>
      <c r="P26" s="229" t="str">
        <f t="shared" si="5"/>
        <v/>
      </c>
      <c r="Q26" s="40" t="str">
        <f>IF(Match!U10="","",Match!$U10)</f>
        <v/>
      </c>
      <c r="R26" s="202"/>
      <c r="S26" s="43"/>
      <c r="T26" s="43"/>
    </row>
    <row r="27" spans="1:22" x14ac:dyDescent="0.25">
      <c r="L27" s="334"/>
      <c r="M27" s="334"/>
      <c r="N27" s="334"/>
      <c r="O27" s="334"/>
      <c r="P27" s="334"/>
      <c r="Q27" s="334"/>
      <c r="R27" s="53"/>
      <c r="S27" s="53"/>
      <c r="T27" s="53"/>
    </row>
    <row r="28" spans="1:22" x14ac:dyDescent="0.25">
      <c r="G28" s="42"/>
      <c r="I28" s="42"/>
      <c r="K28" s="342" t="str">
        <f>Match!M12</f>
        <v>-</v>
      </c>
      <c r="L28" s="233" t="str">
        <f>IF(Match!M14="","",Match!$M$14)</f>
        <v xml:space="preserve"> </v>
      </c>
      <c r="M28" s="41" t="str">
        <f>IF(Match!O14="","",Match!$O$14)</f>
        <v/>
      </c>
      <c r="N28" s="40" t="str">
        <f>IF(Match!P14="","",Match!$P$14)</f>
        <v/>
      </c>
      <c r="O28" s="40" t="str">
        <f>IF(Match!Q14="","",Match!$Q$14)</f>
        <v/>
      </c>
      <c r="P28" s="229" t="str">
        <f>IF(N28="","",M28/N28)</f>
        <v/>
      </c>
      <c r="Q28" s="40" t="str">
        <f>IF(Match!U14="","",Match!$U$14)</f>
        <v/>
      </c>
      <c r="R28" s="202"/>
      <c r="S28" s="43"/>
      <c r="T28" s="43"/>
    </row>
    <row r="29" spans="1:22" x14ac:dyDescent="0.25">
      <c r="A29" s="80"/>
      <c r="G29" s="81"/>
      <c r="I29" s="42"/>
      <c r="J29" s="82"/>
      <c r="K29" s="342"/>
      <c r="L29" s="233" t="str">
        <f>IF(Match!M15="","",Match!$M$15)</f>
        <v xml:space="preserve"> </v>
      </c>
      <c r="M29" s="41" t="str">
        <f>IF(Match!O15="","",Match!$O$15)</f>
        <v/>
      </c>
      <c r="N29" s="40" t="str">
        <f>IF(Match!P15="","",Match!$P$15)</f>
        <v/>
      </c>
      <c r="O29" s="40" t="str">
        <f>IF(Match!Q15="","",Match!$Q$15)</f>
        <v/>
      </c>
      <c r="P29" s="229" t="str">
        <f t="shared" ref="P29:P31" si="6">IF(N29="","",M29/N29)</f>
        <v/>
      </c>
      <c r="Q29" s="40" t="str">
        <f>IF(Match!U15="","",Match!$U$15)</f>
        <v/>
      </c>
      <c r="R29" s="202"/>
      <c r="S29" s="43"/>
      <c r="T29" s="43"/>
      <c r="U29" s="83"/>
      <c r="V29" s="84"/>
    </row>
    <row r="30" spans="1:22" x14ac:dyDescent="0.25">
      <c r="A30" s="80"/>
      <c r="G30" s="81"/>
      <c r="I30" s="42"/>
      <c r="J30" s="82"/>
      <c r="K30" s="342"/>
      <c r="L30" s="233" t="str">
        <f>IF(Match!M17="","",Match!$M$17)</f>
        <v xml:space="preserve"> </v>
      </c>
      <c r="M30" s="41" t="str">
        <f>IF(Match!O17="","",Match!$O$17)</f>
        <v/>
      </c>
      <c r="N30" s="40" t="str">
        <f>IF(Match!P17="","",Match!$P$17)</f>
        <v/>
      </c>
      <c r="O30" s="40" t="str">
        <f>IF(Match!Q17="","",Match!$Q$17)</f>
        <v/>
      </c>
      <c r="P30" s="229" t="str">
        <f t="shared" si="6"/>
        <v/>
      </c>
      <c r="Q30" s="40" t="str">
        <f>IF(Match!U17="","",Match!$U$17)</f>
        <v/>
      </c>
      <c r="R30" s="202"/>
      <c r="S30" s="43"/>
      <c r="T30" s="43"/>
      <c r="U30" s="80"/>
    </row>
    <row r="31" spans="1:22" s="82" customFormat="1" x14ac:dyDescent="0.25">
      <c r="D31" s="85"/>
      <c r="G31" s="81"/>
      <c r="I31" s="42"/>
      <c r="K31" s="342"/>
      <c r="L31" s="234" t="str">
        <f>IF(Match!M18="","",Match!$M$18)</f>
        <v xml:space="preserve"> </v>
      </c>
      <c r="M31" s="47" t="str">
        <f>IF(Match!O18="","",Match!$O$18)</f>
        <v/>
      </c>
      <c r="N31" s="46" t="str">
        <f>IF(Match!P18="","",Match!$P$18)</f>
        <v/>
      </c>
      <c r="O31" s="46" t="str">
        <f>IF(Match!Q18="","",Match!$Q$18)</f>
        <v/>
      </c>
      <c r="P31" s="230" t="str">
        <f t="shared" si="6"/>
        <v/>
      </c>
      <c r="Q31" s="46" t="str">
        <f>IF(Match!U18="","",Match!$U$18)</f>
        <v/>
      </c>
      <c r="R31" s="203"/>
      <c r="S31" s="204"/>
      <c r="T31" s="204"/>
    </row>
    <row r="32" spans="1:22" s="82" customFormat="1" x14ac:dyDescent="0.25">
      <c r="D32" s="85"/>
      <c r="G32" s="81"/>
      <c r="I32" s="42"/>
      <c r="L32" s="235"/>
      <c r="M32" s="48"/>
      <c r="N32" s="85"/>
      <c r="P32" s="231"/>
    </row>
    <row r="33" spans="4:20" s="82" customFormat="1" x14ac:dyDescent="0.25">
      <c r="D33" s="85"/>
      <c r="G33" s="81"/>
      <c r="I33" s="42"/>
      <c r="L33" s="335" t="str">
        <f>Match!L21</f>
        <v>-</v>
      </c>
      <c r="M33" s="335"/>
      <c r="N33" s="335"/>
      <c r="O33" s="335"/>
      <c r="P33" s="335"/>
      <c r="Q33" s="335"/>
    </row>
    <row r="34" spans="4:20" s="82" customFormat="1" x14ac:dyDescent="0.25">
      <c r="D34" s="85"/>
      <c r="G34" s="81"/>
      <c r="I34" s="42"/>
      <c r="L34" s="234" t="str">
        <f>IF(Match!M23="","",Match!$M$23)</f>
        <v xml:space="preserve"> </v>
      </c>
      <c r="M34" s="47" t="str">
        <f>IF(Match!O23="","",Match!$O$23)</f>
        <v/>
      </c>
      <c r="N34" s="46" t="str">
        <f>IF(Match!P23="","",Match!$P$23)</f>
        <v/>
      </c>
      <c r="O34" s="46" t="str">
        <f>IF(Match!Q23="","",Match!$Q$23)</f>
        <v/>
      </c>
      <c r="P34" s="230" t="str">
        <f>IF(N34="","",M34/N34)</f>
        <v/>
      </c>
      <c r="Q34" s="46" t="str">
        <f>IF(Match!U23="","",Match!$U$23)</f>
        <v/>
      </c>
      <c r="R34" s="203"/>
      <c r="S34" s="204"/>
      <c r="T34" s="204"/>
    </row>
    <row r="35" spans="4:20" s="82" customFormat="1" x14ac:dyDescent="0.25">
      <c r="D35" s="85"/>
      <c r="G35" s="81"/>
      <c r="I35" s="42"/>
      <c r="L35" s="234" t="str">
        <f>IF(Match!M24="","",Match!$M$24)</f>
        <v xml:space="preserve"> </v>
      </c>
      <c r="M35" s="47" t="str">
        <f>IF(Match!O24="","",Match!$O$24)</f>
        <v/>
      </c>
      <c r="N35" s="46" t="str">
        <f>IF(Match!P24="","",Match!$P$24)</f>
        <v/>
      </c>
      <c r="O35" s="46" t="str">
        <f>IF(Match!Q24="","",Match!$Q$24)</f>
        <v/>
      </c>
      <c r="P35" s="230" t="str">
        <f t="shared" ref="P35" si="7">IF(N35="","",M35/N35)</f>
        <v/>
      </c>
      <c r="Q35" s="46" t="str">
        <f>IF(Match!U24="","",Match!$U$24)</f>
        <v/>
      </c>
      <c r="R35" s="203"/>
      <c r="S35" s="204"/>
      <c r="T35" s="204"/>
    </row>
    <row r="36" spans="4:20" s="82" customFormat="1" ht="15.75" customHeight="1" x14ac:dyDescent="0.25">
      <c r="D36" s="85"/>
      <c r="G36" s="81"/>
      <c r="L36" s="338" t="str">
        <f>Match!L29</f>
        <v>-</v>
      </c>
      <c r="M36" s="338"/>
      <c r="N36" s="338"/>
      <c r="O36" s="338"/>
      <c r="P36" s="338"/>
      <c r="Q36" s="338"/>
    </row>
    <row r="37" spans="4:20" s="82" customFormat="1" x14ac:dyDescent="0.25">
      <c r="D37" s="85"/>
      <c r="L37" s="234" t="str">
        <f>IF(Match!M31="","",Match!$M$31)</f>
        <v xml:space="preserve"> </v>
      </c>
      <c r="M37" s="47" t="str">
        <f>IF(Match!O31="","",Match!$O$31)</f>
        <v/>
      </c>
      <c r="N37" s="46" t="str">
        <f>IF(Match!P31="","",Match!$P$31)</f>
        <v/>
      </c>
      <c r="O37" s="46" t="str">
        <f>IF(Match!Q31="","",Match!$Q$31)</f>
        <v/>
      </c>
      <c r="P37" s="230" t="str">
        <f>IF(N37="","",M37/N37)</f>
        <v/>
      </c>
      <c r="Q37" s="46" t="str">
        <f>IF(Match!U31="","",Match!$U$31)</f>
        <v/>
      </c>
      <c r="R37" s="203"/>
      <c r="S37" s="204"/>
      <c r="T37" s="204"/>
    </row>
    <row r="38" spans="4:20" s="82" customFormat="1" x14ac:dyDescent="0.25">
      <c r="D38" s="85"/>
      <c r="L38" s="234" t="str">
        <f>IF(Match!M32="","",Match!$M$32)</f>
        <v xml:space="preserve"> </v>
      </c>
      <c r="M38" s="47" t="str">
        <f>IF(Match!O32="","",Match!$O$32)</f>
        <v/>
      </c>
      <c r="N38" s="46" t="str">
        <f>IF(Match!P32="","",Match!$P$32)</f>
        <v/>
      </c>
      <c r="O38" s="46" t="str">
        <f>IF(Match!Q32="","",Match!$Q$32)</f>
        <v/>
      </c>
      <c r="P38" s="230" t="str">
        <f t="shared" ref="P38" si="8">IF(N38="","",M38/N38)</f>
        <v/>
      </c>
      <c r="Q38" s="46" t="str">
        <f>IF(Match!U32="","",Match!$U$32)</f>
        <v/>
      </c>
      <c r="R38" s="203"/>
      <c r="S38" s="204"/>
      <c r="T38" s="204"/>
    </row>
    <row r="39" spans="4:20" s="82" customFormat="1" x14ac:dyDescent="0.25">
      <c r="D39" s="85"/>
      <c r="L39" s="338" t="str">
        <f>Match!L34</f>
        <v>-</v>
      </c>
      <c r="M39" s="338"/>
      <c r="N39" s="338"/>
      <c r="O39" s="338"/>
      <c r="P39" s="338"/>
      <c r="Q39" s="338"/>
    </row>
    <row r="40" spans="4:20" s="82" customFormat="1" x14ac:dyDescent="0.25">
      <c r="D40" s="85"/>
      <c r="L40" s="234" t="str">
        <f>IF(Match!M36="","",Match!$M$36)</f>
        <v xml:space="preserve"> </v>
      </c>
      <c r="M40" s="47" t="str">
        <f>IF(Match!O36="","",Match!$O$36)</f>
        <v/>
      </c>
      <c r="N40" s="46" t="str">
        <f>IF(Match!P36="","",Match!$P$36)</f>
        <v/>
      </c>
      <c r="O40" s="46" t="str">
        <f>IF(Match!Q36="","",Match!$Q$36)</f>
        <v/>
      </c>
      <c r="P40" s="230" t="str">
        <f>IF(N40="","",M40/N40)</f>
        <v/>
      </c>
      <c r="Q40" s="46" t="str">
        <f>IF(Match!U36="","",Match!$U$36)</f>
        <v/>
      </c>
      <c r="R40" s="203"/>
      <c r="S40" s="204"/>
      <c r="T40" s="204"/>
    </row>
    <row r="41" spans="4:20" s="82" customFormat="1" x14ac:dyDescent="0.25">
      <c r="D41" s="85"/>
      <c r="L41" s="234" t="str">
        <f>IF(Match!M37="","",Match!$M$37)</f>
        <v xml:space="preserve"> </v>
      </c>
      <c r="M41" s="47" t="str">
        <f>IF(Match!O37="","",Match!$O$37)</f>
        <v/>
      </c>
      <c r="N41" s="46" t="str">
        <f>IF(Match!P37="","",Match!$P$37)</f>
        <v/>
      </c>
      <c r="O41" s="46" t="str">
        <f>IF(Match!Q37="","",Match!$Q$37)</f>
        <v/>
      </c>
      <c r="P41" s="230" t="str">
        <f t="shared" ref="P41" si="9">IF(N41="","",M41/N41)</f>
        <v/>
      </c>
      <c r="Q41" s="46" t="str">
        <f>IF(Match!U37="","",Match!$U$37)</f>
        <v/>
      </c>
      <c r="R41" s="203"/>
      <c r="S41" s="204"/>
      <c r="T41" s="204"/>
    </row>
    <row r="42" spans="4:20" s="82" customFormat="1" x14ac:dyDescent="0.25">
      <c r="D42" s="85"/>
      <c r="L42" s="235"/>
      <c r="N42" s="85"/>
      <c r="P42" s="231"/>
    </row>
    <row r="43" spans="4:20" s="82" customFormat="1" hidden="1" x14ac:dyDescent="0.25">
      <c r="D43" s="85"/>
      <c r="L43" s="235"/>
      <c r="N43" s="85"/>
      <c r="P43" s="231"/>
    </row>
    <row r="44" spans="4:20" s="82" customFormat="1" hidden="1" x14ac:dyDescent="0.25">
      <c r="D44" s="85"/>
      <c r="L44" s="235"/>
      <c r="N44" s="85"/>
      <c r="P44" s="231"/>
    </row>
    <row r="45" spans="4:20" s="82" customFormat="1" hidden="1" x14ac:dyDescent="0.25">
      <c r="D45" s="85"/>
      <c r="L45" s="235"/>
      <c r="N45" s="85"/>
      <c r="P45" s="231"/>
    </row>
    <row r="46" spans="4:20" s="82" customFormat="1" hidden="1" x14ac:dyDescent="0.25">
      <c r="D46" s="85"/>
      <c r="L46" s="235"/>
      <c r="N46" s="85"/>
      <c r="P46" s="231"/>
    </row>
    <row r="47" spans="4:20" s="82" customFormat="1" hidden="1" x14ac:dyDescent="0.25">
      <c r="D47" s="85"/>
      <c r="L47" s="235"/>
      <c r="N47" s="85"/>
      <c r="P47" s="231"/>
    </row>
    <row r="48" spans="4:20" s="82" customFormat="1" hidden="1" x14ac:dyDescent="0.25">
      <c r="D48" s="85"/>
      <c r="L48" s="235"/>
      <c r="N48" s="85"/>
      <c r="P48" s="231"/>
    </row>
    <row r="49" spans="2:16" s="82" customFormat="1" hidden="1" x14ac:dyDescent="0.25">
      <c r="D49" s="85"/>
      <c r="L49" s="235"/>
      <c r="N49" s="85"/>
      <c r="P49" s="231"/>
    </row>
    <row r="50" spans="2:16" s="82" customFormat="1" hidden="1" x14ac:dyDescent="0.25">
      <c r="D50" s="85"/>
      <c r="L50" s="235"/>
      <c r="N50" s="85"/>
      <c r="P50" s="231"/>
    </row>
    <row r="51" spans="2:16" s="82" customFormat="1" hidden="1" x14ac:dyDescent="0.25">
      <c r="D51" s="85"/>
      <c r="L51" s="235"/>
      <c r="N51" s="85"/>
      <c r="P51" s="231"/>
    </row>
    <row r="52" spans="2:16" s="82" customFormat="1" hidden="1" x14ac:dyDescent="0.25">
      <c r="D52" s="85"/>
      <c r="L52" s="235"/>
      <c r="N52" s="85"/>
      <c r="P52" s="231"/>
    </row>
    <row r="53" spans="2:16" s="82" customFormat="1" hidden="1" x14ac:dyDescent="0.25">
      <c r="D53" s="85"/>
      <c r="L53" s="235"/>
      <c r="N53" s="85"/>
      <c r="P53" s="231"/>
    </row>
    <row r="54" spans="2:16" s="82" customFormat="1" hidden="1" x14ac:dyDescent="0.25">
      <c r="D54" s="85"/>
      <c r="L54" s="235"/>
      <c r="N54" s="85"/>
      <c r="P54" s="231"/>
    </row>
    <row r="55" spans="2:16" s="82" customFormat="1" hidden="1" x14ac:dyDescent="0.25">
      <c r="D55" s="85"/>
      <c r="L55" s="235"/>
      <c r="N55" s="85"/>
      <c r="P55" s="231"/>
    </row>
    <row r="56" spans="2:16" s="82" customFormat="1" hidden="1" x14ac:dyDescent="0.25">
      <c r="D56" s="85"/>
      <c r="L56" s="235"/>
      <c r="N56" s="85"/>
      <c r="P56" s="231"/>
    </row>
    <row r="57" spans="2:16" s="82" customFormat="1" hidden="1" x14ac:dyDescent="0.25">
      <c r="D57" s="85"/>
      <c r="L57" s="235"/>
      <c r="N57" s="85"/>
      <c r="P57" s="231"/>
    </row>
    <row r="58" spans="2:16" s="82" customFormat="1" hidden="1" x14ac:dyDescent="0.25">
      <c r="C58" s="82" t="str">
        <f t="shared" ref="C58:I65" si="10">IF(ISERROR(C72),"",C72)</f>
        <v>DAVID MICHEL</v>
      </c>
      <c r="D58" s="85">
        <f t="shared" si="10"/>
        <v>120</v>
      </c>
      <c r="E58" s="82">
        <f t="shared" si="10"/>
        <v>74</v>
      </c>
      <c r="F58" s="82">
        <f t="shared" si="10"/>
        <v>4</v>
      </c>
      <c r="G58" s="82">
        <f t="shared" si="10"/>
        <v>1.6216216216216217</v>
      </c>
      <c r="H58" s="82">
        <f t="shared" si="10"/>
        <v>1.6666666666666667</v>
      </c>
      <c r="I58" s="82">
        <f t="shared" si="10"/>
        <v>6</v>
      </c>
      <c r="L58" s="235"/>
      <c r="N58" s="85"/>
      <c r="P58" s="231"/>
    </row>
    <row r="59" spans="2:16" s="82" customFormat="1" hidden="1" x14ac:dyDescent="0.25">
      <c r="C59" s="82" t="str">
        <f t="shared" si="10"/>
        <v>BLANCHARD THIERRY</v>
      </c>
      <c r="D59" s="85">
        <f t="shared" si="10"/>
        <v>118</v>
      </c>
      <c r="E59" s="82">
        <f t="shared" si="10"/>
        <v>77</v>
      </c>
      <c r="F59" s="82">
        <f t="shared" si="10"/>
        <v>4</v>
      </c>
      <c r="G59" s="82">
        <f t="shared" si="10"/>
        <v>1.5324675324675325</v>
      </c>
      <c r="H59" s="82">
        <f t="shared" si="10"/>
        <v>1.6216216216216217</v>
      </c>
      <c r="I59" s="82">
        <f t="shared" si="10"/>
        <v>14</v>
      </c>
      <c r="L59" s="235"/>
      <c r="N59" s="85"/>
      <c r="P59" s="231"/>
    </row>
    <row r="60" spans="2:16" s="82" customFormat="1" hidden="1" x14ac:dyDescent="0.25">
      <c r="C60" s="82" t="str">
        <f t="shared" si="10"/>
        <v>CARDON CHRISTIAN</v>
      </c>
      <c r="D60" s="85">
        <f t="shared" si="10"/>
        <v>116</v>
      </c>
      <c r="E60" s="82">
        <f t="shared" si="10"/>
        <v>77</v>
      </c>
      <c r="F60" s="82">
        <f t="shared" si="10"/>
        <v>2</v>
      </c>
      <c r="G60" s="82">
        <f t="shared" si="10"/>
        <v>1.5064935064935066</v>
      </c>
      <c r="H60" s="82">
        <f t="shared" si="10"/>
        <v>1.6216216216216217</v>
      </c>
      <c r="I60" s="82">
        <f t="shared" si="10"/>
        <v>8</v>
      </c>
      <c r="L60" s="235"/>
      <c r="N60" s="85"/>
      <c r="P60" s="231"/>
    </row>
    <row r="61" spans="2:16" s="82" customFormat="1" hidden="1" x14ac:dyDescent="0.25">
      <c r="C61" s="82" t="str">
        <f t="shared" si="10"/>
        <v>FAREZ MICHEL</v>
      </c>
      <c r="D61" s="85">
        <f t="shared" si="10"/>
        <v>100</v>
      </c>
      <c r="E61" s="82">
        <f t="shared" si="10"/>
        <v>76</v>
      </c>
      <c r="F61" s="82">
        <f t="shared" si="10"/>
        <v>2</v>
      </c>
      <c r="G61" s="82">
        <f t="shared" si="10"/>
        <v>1.3157894736842106</v>
      </c>
      <c r="H61" s="82">
        <f t="shared" si="10"/>
        <v>1.2749999999999999</v>
      </c>
      <c r="I61" s="82">
        <f t="shared" si="10"/>
        <v>7</v>
      </c>
      <c r="L61" s="235"/>
      <c r="N61" s="85"/>
      <c r="P61" s="231"/>
    </row>
    <row r="62" spans="2:16" s="82" customFormat="1" hidden="1" x14ac:dyDescent="0.25">
      <c r="C62" s="82" t="str">
        <f t="shared" si="10"/>
        <v>GERONIMI THIERRY</v>
      </c>
      <c r="D62" s="85">
        <f t="shared" si="10"/>
        <v>91</v>
      </c>
      <c r="E62" s="82">
        <f t="shared" si="10"/>
        <v>74</v>
      </c>
      <c r="F62" s="82">
        <f t="shared" si="10"/>
        <v>0</v>
      </c>
      <c r="G62" s="82">
        <f t="shared" si="10"/>
        <v>1.2297297297297298</v>
      </c>
      <c r="H62" s="82">
        <f t="shared" si="10"/>
        <v>0</v>
      </c>
      <c r="I62" s="82">
        <f t="shared" si="10"/>
        <v>9</v>
      </c>
      <c r="L62" s="235"/>
      <c r="N62" s="85"/>
      <c r="P62" s="231"/>
    </row>
    <row r="63" spans="2:16" s="82" customFormat="1" hidden="1" x14ac:dyDescent="0.25">
      <c r="C63" s="82" t="str">
        <f t="shared" si="10"/>
        <v>LENGAIGNE DANIEL</v>
      </c>
      <c r="D63" s="85">
        <f t="shared" si="10"/>
        <v>81</v>
      </c>
      <c r="E63" s="82">
        <f t="shared" si="10"/>
        <v>78</v>
      </c>
      <c r="F63" s="82">
        <f t="shared" si="10"/>
        <v>0</v>
      </c>
      <c r="G63" s="82">
        <f t="shared" si="10"/>
        <v>1.0384615384615385</v>
      </c>
      <c r="H63" s="82">
        <f t="shared" si="10"/>
        <v>0</v>
      </c>
      <c r="I63" s="82">
        <f t="shared" si="10"/>
        <v>8</v>
      </c>
      <c r="L63" s="235"/>
      <c r="N63" s="85"/>
      <c r="P63" s="231"/>
    </row>
    <row r="64" spans="2:16" s="82" customFormat="1" hidden="1" x14ac:dyDescent="0.25">
      <c r="B64" s="48"/>
      <c r="C64" s="82" t="str">
        <f t="shared" si="10"/>
        <v/>
      </c>
      <c r="D64" s="85">
        <f t="shared" si="10"/>
        <v>0</v>
      </c>
      <c r="E64" s="82">
        <f t="shared" si="10"/>
        <v>0</v>
      </c>
      <c r="F64" s="82">
        <f t="shared" si="10"/>
        <v>0</v>
      </c>
      <c r="G64" s="82" t="str">
        <f t="shared" si="10"/>
        <v/>
      </c>
      <c r="H64" s="82">
        <f t="shared" si="10"/>
        <v>0</v>
      </c>
      <c r="I64" s="82">
        <f t="shared" si="10"/>
        <v>0</v>
      </c>
      <c r="L64" s="235"/>
      <c r="N64" s="85"/>
      <c r="P64" s="231"/>
    </row>
    <row r="65" spans="2:20" s="82" customFormat="1" hidden="1" x14ac:dyDescent="0.25">
      <c r="C65" s="82" t="str">
        <f t="shared" si="10"/>
        <v/>
      </c>
      <c r="D65" s="85" t="str">
        <f t="shared" si="10"/>
        <v/>
      </c>
      <c r="E65" s="82" t="str">
        <f t="shared" si="10"/>
        <v/>
      </c>
      <c r="F65" s="82" t="str">
        <f t="shared" si="10"/>
        <v/>
      </c>
      <c r="G65" s="82" t="str">
        <f t="shared" si="10"/>
        <v/>
      </c>
      <c r="H65" s="82" t="str">
        <f t="shared" si="10"/>
        <v/>
      </c>
      <c r="I65" s="82" t="str">
        <f t="shared" si="10"/>
        <v/>
      </c>
      <c r="L65" s="235"/>
      <c r="N65" s="85"/>
      <c r="P65" s="231"/>
    </row>
    <row r="66" spans="2:20" s="82" customFormat="1" hidden="1" x14ac:dyDescent="0.25">
      <c r="D66" s="85"/>
      <c r="L66" s="235"/>
      <c r="N66" s="85"/>
      <c r="P66" s="231"/>
    </row>
    <row r="67" spans="2:20" s="82" customFormat="1" hidden="1" x14ac:dyDescent="0.25">
      <c r="D67" s="85"/>
      <c r="L67" s="235"/>
      <c r="N67" s="85"/>
      <c r="P67" s="231"/>
    </row>
    <row r="68" spans="2:20" s="82" customFormat="1" hidden="1" x14ac:dyDescent="0.25">
      <c r="D68" s="85"/>
      <c r="L68" s="236"/>
      <c r="M68" s="49"/>
      <c r="N68" s="51"/>
      <c r="O68" s="49"/>
      <c r="P68" s="224"/>
      <c r="Q68" s="49"/>
      <c r="R68" s="49"/>
      <c r="S68" s="49"/>
      <c r="T68" s="49"/>
    </row>
    <row r="69" spans="2:20" s="82" customFormat="1" hidden="1" x14ac:dyDescent="0.25">
      <c r="D69" s="85"/>
      <c r="L69" s="236"/>
      <c r="M69" s="49"/>
      <c r="N69" s="51"/>
      <c r="O69" s="49"/>
      <c r="P69" s="224"/>
      <c r="Q69" s="49"/>
      <c r="R69" s="49"/>
      <c r="S69" s="49"/>
      <c r="T69" s="49"/>
    </row>
    <row r="70" spans="2:20" hidden="1" x14ac:dyDescent="0.25">
      <c r="B70" s="86"/>
      <c r="C70" s="86"/>
      <c r="D70" s="87"/>
      <c r="E70" s="86"/>
      <c r="F70" s="86"/>
      <c r="G70" s="86"/>
      <c r="H70" s="86"/>
      <c r="I70" s="86"/>
      <c r="J70" s="86"/>
      <c r="K70" s="86"/>
      <c r="L70" s="236"/>
    </row>
    <row r="71" spans="2:20" hidden="1" x14ac:dyDescent="0.25">
      <c r="B71" s="86"/>
      <c r="C71" s="86"/>
      <c r="D71" s="87"/>
      <c r="E71" s="86"/>
      <c r="F71" s="86"/>
      <c r="G71" s="86"/>
      <c r="H71" s="86"/>
      <c r="I71" s="86"/>
      <c r="J71" s="86"/>
      <c r="K71" s="86"/>
      <c r="L71" s="236"/>
    </row>
    <row r="72" spans="2:20" hidden="1" x14ac:dyDescent="0.25">
      <c r="B72" s="88">
        <v>1</v>
      </c>
      <c r="C72" s="88" t="str">
        <f t="shared" ref="C72:C79" si="11">VLOOKUP($B72,Classementfinal,3,FALSE)</f>
        <v>DAVID MICHEL</v>
      </c>
      <c r="D72" s="89">
        <f t="shared" ref="D72:D79" si="12">VLOOKUP($B72,Classementfinal,4,FALSE)</f>
        <v>120</v>
      </c>
      <c r="E72" s="88">
        <f t="shared" ref="E72:E79" si="13">VLOOKUP($B72,Classementfinal,5,FALSE)</f>
        <v>74</v>
      </c>
      <c r="F72" s="88">
        <f t="shared" ref="F72:F79" si="14">VLOOKUP($B72,Classementfinal,6,FALSE)</f>
        <v>4</v>
      </c>
      <c r="G72" s="88">
        <f t="shared" ref="G72:G79" si="15">D72/E72</f>
        <v>1.6216216216216217</v>
      </c>
      <c r="H72" s="88">
        <f t="shared" ref="H72:H79" si="16">VLOOKUP($B72,Classementfinal,8,FALSE)</f>
        <v>1.6666666666666667</v>
      </c>
      <c r="I72" s="88">
        <f t="shared" ref="I72:I79" si="17">VLOOKUP($B72,Classementfinal,7,FALSE)</f>
        <v>6</v>
      </c>
      <c r="J72" s="86"/>
      <c r="K72" s="86"/>
      <c r="L72" s="236"/>
    </row>
    <row r="73" spans="2:20" hidden="1" x14ac:dyDescent="0.25">
      <c r="B73" s="88">
        <v>2</v>
      </c>
      <c r="C73" s="88" t="str">
        <f t="shared" si="11"/>
        <v>BLANCHARD THIERRY</v>
      </c>
      <c r="D73" s="89">
        <f t="shared" si="12"/>
        <v>118</v>
      </c>
      <c r="E73" s="88">
        <f t="shared" si="13"/>
        <v>77</v>
      </c>
      <c r="F73" s="88">
        <f t="shared" si="14"/>
        <v>4</v>
      </c>
      <c r="G73" s="88">
        <f t="shared" si="15"/>
        <v>1.5324675324675325</v>
      </c>
      <c r="H73" s="88">
        <f t="shared" si="16"/>
        <v>1.6216216216216217</v>
      </c>
      <c r="I73" s="88">
        <f t="shared" si="17"/>
        <v>14</v>
      </c>
      <c r="J73" s="86"/>
      <c r="K73" s="86"/>
      <c r="L73" s="236"/>
    </row>
    <row r="74" spans="2:20" hidden="1" x14ac:dyDescent="0.25">
      <c r="B74" s="88">
        <v>3</v>
      </c>
      <c r="C74" s="88" t="str">
        <f t="shared" si="11"/>
        <v>CARDON CHRISTIAN</v>
      </c>
      <c r="D74" s="89">
        <f t="shared" si="12"/>
        <v>116</v>
      </c>
      <c r="E74" s="88">
        <f t="shared" si="13"/>
        <v>77</v>
      </c>
      <c r="F74" s="88">
        <f t="shared" si="14"/>
        <v>2</v>
      </c>
      <c r="G74" s="88">
        <f t="shared" si="15"/>
        <v>1.5064935064935066</v>
      </c>
      <c r="H74" s="88">
        <f t="shared" si="16"/>
        <v>1.6216216216216217</v>
      </c>
      <c r="I74" s="88">
        <f t="shared" si="17"/>
        <v>8</v>
      </c>
      <c r="J74" s="86"/>
      <c r="K74" s="86"/>
      <c r="L74" s="236"/>
    </row>
    <row r="75" spans="2:20" hidden="1" x14ac:dyDescent="0.25">
      <c r="B75" s="90">
        <v>4</v>
      </c>
      <c r="C75" s="88" t="str">
        <f>VLOOKUP($B75,Classementfinal,3,FALSE)</f>
        <v>FAREZ MICHEL</v>
      </c>
      <c r="D75" s="89">
        <f>VLOOKUP($B75,Classementfinal,4,FALSE)</f>
        <v>100</v>
      </c>
      <c r="E75" s="88">
        <f t="shared" si="13"/>
        <v>76</v>
      </c>
      <c r="F75" s="88">
        <f t="shared" si="14"/>
        <v>2</v>
      </c>
      <c r="G75" s="88">
        <f t="shared" si="15"/>
        <v>1.3157894736842106</v>
      </c>
      <c r="H75" s="88">
        <f t="shared" si="16"/>
        <v>1.2749999999999999</v>
      </c>
      <c r="I75" s="88">
        <f t="shared" si="17"/>
        <v>7</v>
      </c>
      <c r="J75" s="86"/>
      <c r="K75" s="86"/>
      <c r="L75" s="236"/>
    </row>
    <row r="76" spans="2:20" hidden="1" x14ac:dyDescent="0.25">
      <c r="B76" s="90">
        <v>5</v>
      </c>
      <c r="C76" s="88" t="str">
        <f t="shared" si="11"/>
        <v>GERONIMI THIERRY</v>
      </c>
      <c r="D76" s="89">
        <f t="shared" si="12"/>
        <v>91</v>
      </c>
      <c r="E76" s="88">
        <f t="shared" si="13"/>
        <v>74</v>
      </c>
      <c r="F76" s="88">
        <f t="shared" si="14"/>
        <v>0</v>
      </c>
      <c r="G76" s="88">
        <f t="shared" si="15"/>
        <v>1.2297297297297298</v>
      </c>
      <c r="H76" s="88">
        <f t="shared" si="16"/>
        <v>0</v>
      </c>
      <c r="I76" s="88">
        <f t="shared" si="17"/>
        <v>9</v>
      </c>
      <c r="J76" s="86"/>
      <c r="K76" s="86"/>
      <c r="L76" s="236"/>
    </row>
    <row r="77" spans="2:20" hidden="1" x14ac:dyDescent="0.25">
      <c r="B77" s="90">
        <v>6</v>
      </c>
      <c r="C77" s="88" t="str">
        <f t="shared" si="11"/>
        <v>LENGAIGNE DANIEL</v>
      </c>
      <c r="D77" s="89">
        <f t="shared" si="12"/>
        <v>81</v>
      </c>
      <c r="E77" s="88">
        <f t="shared" si="13"/>
        <v>78</v>
      </c>
      <c r="F77" s="88">
        <f t="shared" si="14"/>
        <v>0</v>
      </c>
      <c r="G77" s="88">
        <f t="shared" si="15"/>
        <v>1.0384615384615385</v>
      </c>
      <c r="H77" s="88">
        <f t="shared" si="16"/>
        <v>0</v>
      </c>
      <c r="I77" s="88">
        <f t="shared" si="17"/>
        <v>8</v>
      </c>
      <c r="J77" s="86"/>
      <c r="K77" s="86"/>
      <c r="L77" s="236"/>
    </row>
    <row r="78" spans="2:20" hidden="1" x14ac:dyDescent="0.25">
      <c r="B78" s="90">
        <v>7</v>
      </c>
      <c r="C78" s="88" t="e">
        <f t="shared" si="11"/>
        <v>#N/A</v>
      </c>
      <c r="D78" s="89">
        <f t="shared" si="12"/>
        <v>0</v>
      </c>
      <c r="E78" s="88">
        <f t="shared" si="13"/>
        <v>0</v>
      </c>
      <c r="F78" s="88">
        <f t="shared" si="14"/>
        <v>0</v>
      </c>
      <c r="G78" s="88" t="e">
        <f t="shared" si="15"/>
        <v>#DIV/0!</v>
      </c>
      <c r="H78" s="88">
        <f t="shared" si="16"/>
        <v>0</v>
      </c>
      <c r="I78" s="88">
        <f t="shared" si="17"/>
        <v>0</v>
      </c>
      <c r="J78" s="86"/>
      <c r="K78" s="86"/>
      <c r="L78" s="236"/>
    </row>
    <row r="79" spans="2:20" hidden="1" x14ac:dyDescent="0.25">
      <c r="B79" s="90">
        <v>8</v>
      </c>
      <c r="C79" s="88" t="e">
        <f t="shared" si="11"/>
        <v>#N/A</v>
      </c>
      <c r="D79" s="89" t="e">
        <f t="shared" si="12"/>
        <v>#N/A</v>
      </c>
      <c r="E79" s="88" t="e">
        <f t="shared" si="13"/>
        <v>#N/A</v>
      </c>
      <c r="F79" s="88" t="e">
        <f t="shared" si="14"/>
        <v>#N/A</v>
      </c>
      <c r="G79" s="88" t="e">
        <f t="shared" si="15"/>
        <v>#N/A</v>
      </c>
      <c r="H79" s="88" t="e">
        <f t="shared" si="16"/>
        <v>#N/A</v>
      </c>
      <c r="I79" s="88" t="e">
        <f t="shared" si="17"/>
        <v>#N/A</v>
      </c>
      <c r="J79" s="86"/>
      <c r="K79" s="86"/>
      <c r="L79" s="236"/>
    </row>
    <row r="80" spans="2:20" hidden="1" x14ac:dyDescent="0.25">
      <c r="B80" s="86"/>
      <c r="C80" s="86"/>
      <c r="D80" s="87"/>
      <c r="E80" s="86"/>
      <c r="F80" s="86"/>
      <c r="G80" s="86"/>
      <c r="H80" s="86"/>
      <c r="I80" s="86"/>
      <c r="J80" s="86"/>
      <c r="K80" s="86"/>
      <c r="L80" s="236"/>
    </row>
    <row r="81" spans="2:12" hidden="1" x14ac:dyDescent="0.25">
      <c r="B81" s="86"/>
      <c r="C81" s="86"/>
      <c r="D81" s="87"/>
      <c r="E81" s="86"/>
      <c r="F81" s="86"/>
      <c r="G81" s="86"/>
      <c r="H81" s="86"/>
      <c r="I81" s="86"/>
      <c r="J81" s="86"/>
      <c r="K81" s="86"/>
      <c r="L81" s="236"/>
    </row>
    <row r="82" spans="2:12" hidden="1" x14ac:dyDescent="0.25">
      <c r="B82" s="86"/>
      <c r="C82" s="86"/>
      <c r="D82" s="87"/>
      <c r="E82" s="86"/>
      <c r="F82" s="86"/>
      <c r="G82" s="86"/>
      <c r="H82" s="86"/>
      <c r="I82" s="86"/>
      <c r="J82" s="86"/>
      <c r="K82" s="86"/>
      <c r="L82" s="236"/>
    </row>
    <row r="83" spans="2:12" hidden="1" x14ac:dyDescent="0.25">
      <c r="B83" s="86"/>
      <c r="C83" s="86"/>
      <c r="D83" s="87"/>
      <c r="E83" s="86"/>
      <c r="F83" s="86"/>
      <c r="G83" s="86"/>
      <c r="H83" s="86"/>
      <c r="I83" s="86"/>
      <c r="J83" s="86"/>
      <c r="K83" s="86"/>
      <c r="L83" s="236"/>
    </row>
    <row r="84" spans="2:12" hidden="1" x14ac:dyDescent="0.25">
      <c r="B84" s="86"/>
      <c r="C84" s="86"/>
      <c r="D84" s="87"/>
      <c r="E84" s="86"/>
      <c r="F84" s="86"/>
      <c r="G84" s="86"/>
      <c r="H84" s="86"/>
      <c r="I84" s="86"/>
      <c r="J84" s="86"/>
      <c r="K84" s="86"/>
      <c r="L84" s="236"/>
    </row>
    <row r="85" spans="2:12" hidden="1" x14ac:dyDescent="0.25">
      <c r="B85" s="86"/>
      <c r="C85" s="86"/>
      <c r="D85" s="87"/>
      <c r="E85" s="86"/>
      <c r="F85" s="86"/>
      <c r="G85" s="86"/>
      <c r="H85" s="86"/>
      <c r="I85" s="86"/>
      <c r="J85" s="86"/>
      <c r="K85" s="86"/>
    </row>
    <row r="86" spans="2:12" hidden="1" x14ac:dyDescent="0.25">
      <c r="B86" s="86"/>
      <c r="C86" s="86"/>
      <c r="D86" s="87"/>
      <c r="E86" s="86"/>
      <c r="F86" s="86"/>
      <c r="G86" s="86"/>
      <c r="H86" s="86"/>
      <c r="I86" s="86"/>
      <c r="J86" s="86"/>
      <c r="K86" s="86"/>
    </row>
    <row r="87" spans="2:12" hidden="1" x14ac:dyDescent="0.25"/>
    <row r="88" spans="2:12" hidden="1" x14ac:dyDescent="0.25"/>
    <row r="89" spans="2:12" hidden="1" x14ac:dyDescent="0.25"/>
    <row r="90" spans="2:12" hidden="1" x14ac:dyDescent="0.25"/>
    <row r="91" spans="2:12" hidden="1" x14ac:dyDescent="0.25"/>
    <row r="92" spans="2:12" hidden="1" x14ac:dyDescent="0.25"/>
    <row r="93" spans="2:12" hidden="1" x14ac:dyDescent="0.25"/>
    <row r="94" spans="2:12" hidden="1" x14ac:dyDescent="0.25"/>
    <row r="95" spans="2:12" hidden="1" x14ac:dyDescent="0.25"/>
    <row r="96" spans="2:12"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sheetData>
  <sheetProtection selectLockedCells="1"/>
  <mergeCells count="25">
    <mergeCell ref="L36:Q36"/>
    <mergeCell ref="L39:Q39"/>
    <mergeCell ref="B1:I1"/>
    <mergeCell ref="K3:K6"/>
    <mergeCell ref="K8:K11"/>
    <mergeCell ref="D7:F7"/>
    <mergeCell ref="K13:K16"/>
    <mergeCell ref="K28:K31"/>
    <mergeCell ref="B24:I24"/>
    <mergeCell ref="B25:I25"/>
    <mergeCell ref="B26:I26"/>
    <mergeCell ref="B23:I23"/>
    <mergeCell ref="K18:K21"/>
    <mergeCell ref="K23:K26"/>
    <mergeCell ref="D8:F8"/>
    <mergeCell ref="D3:F3"/>
    <mergeCell ref="L17:Q17"/>
    <mergeCell ref="L22:Q22"/>
    <mergeCell ref="L27:Q27"/>
    <mergeCell ref="L33:Q33"/>
    <mergeCell ref="D4:F4"/>
    <mergeCell ref="D5:F5"/>
    <mergeCell ref="D6:F6"/>
    <mergeCell ref="L7:Q7"/>
    <mergeCell ref="L12:Q12"/>
  </mergeCells>
  <phoneticPr fontId="0" type="noConversion"/>
  <pageMargins left="0.31496062992125984" right="0.51181102362204722" top="0.44" bottom="0.53" header="0.37" footer="0.41"/>
  <pageSetup paperSize="9" scale="84" orientation="landscape" horizontalDpi="4294967293" verticalDpi="200" r:id="rId1"/>
  <headerFooter alignWithMargins="0"/>
  <ignoredErrors>
    <ignoredError sqref="D75:I75"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G48"/>
  <sheetViews>
    <sheetView showGridLines="0" zoomScale="80" zoomScaleNormal="80" workbookViewId="0"/>
  </sheetViews>
  <sheetFormatPr baseColWidth="10" defaultColWidth="11.42578125" defaultRowHeight="14.25" x14ac:dyDescent="0.25"/>
  <cols>
    <col min="1" max="1" width="7.42578125" style="211" customWidth="1"/>
    <col min="2" max="2" width="11.85546875" style="211" customWidth="1"/>
    <col min="3" max="3" width="5.5703125" style="211" customWidth="1"/>
    <col min="4" max="4" width="46.140625" style="211" customWidth="1"/>
    <col min="5" max="10" width="2.140625" style="211" customWidth="1"/>
    <col min="11" max="11" width="7.7109375" style="211" customWidth="1"/>
    <col min="12" max="12" width="6.85546875" style="211" customWidth="1"/>
    <col min="13" max="14" width="8.7109375" style="211" customWidth="1"/>
    <col min="15" max="16" width="13.28515625" style="211" customWidth="1"/>
    <col min="17" max="17" width="7.42578125" style="211" customWidth="1"/>
    <col min="18" max="18" width="0" style="211" hidden="1" customWidth="1"/>
    <col min="19" max="19" width="28" style="211" hidden="1" customWidth="1"/>
    <col min="20" max="20" width="28" style="303" hidden="1" customWidth="1"/>
    <col min="21" max="26" width="11.42578125" style="303" hidden="1" customWidth="1"/>
    <col min="27" max="27" width="11.42578125" style="211" hidden="1" customWidth="1"/>
    <col min="28" max="33" width="11.42578125" style="211" customWidth="1"/>
    <col min="34" max="16384" width="11.42578125" style="211"/>
  </cols>
  <sheetData>
    <row r="1" spans="2:33" ht="43.5" customHeight="1" x14ac:dyDescent="0.25">
      <c r="B1" s="359" t="s">
        <v>186</v>
      </c>
      <c r="C1" s="359"/>
      <c r="D1" s="359"/>
      <c r="K1" s="359" t="s">
        <v>187</v>
      </c>
      <c r="L1" s="359"/>
      <c r="M1" s="359"/>
      <c r="N1" s="359"/>
      <c r="O1" s="359"/>
      <c r="P1" s="359"/>
      <c r="Q1" s="359"/>
    </row>
    <row r="2" spans="2:33" ht="18" x14ac:dyDescent="0.25">
      <c r="B2" s="359" t="s">
        <v>188</v>
      </c>
      <c r="C2" s="359"/>
      <c r="D2" s="359"/>
      <c r="K2" s="359" t="s">
        <v>498</v>
      </c>
      <c r="L2" s="359"/>
      <c r="M2" s="359"/>
      <c r="N2" s="359"/>
      <c r="O2" s="359"/>
      <c r="P2" s="359"/>
      <c r="Q2" s="359"/>
    </row>
    <row r="3" spans="2:33" ht="54.75" customHeight="1" x14ac:dyDescent="0.25">
      <c r="E3" s="10"/>
      <c r="F3" s="10"/>
      <c r="G3" s="10"/>
      <c r="H3" s="10"/>
      <c r="I3" s="10"/>
      <c r="J3" s="10"/>
      <c r="K3" s="10"/>
      <c r="L3" s="10"/>
      <c r="M3" s="10"/>
      <c r="N3" s="10"/>
    </row>
    <row r="4" spans="2:33" ht="18" x14ac:dyDescent="0.25">
      <c r="C4" s="249"/>
      <c r="D4" s="388" t="s">
        <v>189</v>
      </c>
      <c r="E4" s="388"/>
      <c r="F4" s="388"/>
      <c r="G4" s="388"/>
      <c r="H4" s="388"/>
      <c r="I4" s="388"/>
      <c r="J4" s="388"/>
      <c r="K4" s="388"/>
      <c r="L4" s="388"/>
      <c r="M4" s="388"/>
      <c r="N4" s="388"/>
      <c r="O4" s="388"/>
    </row>
    <row r="5" spans="2:33" ht="15" x14ac:dyDescent="0.25">
      <c r="C5" s="249"/>
      <c r="D5" s="379"/>
      <c r="E5" s="379"/>
      <c r="F5" s="379"/>
      <c r="G5" s="379"/>
      <c r="H5" s="379"/>
      <c r="I5" s="379"/>
      <c r="J5" s="379"/>
      <c r="K5" s="379"/>
      <c r="L5" s="379"/>
      <c r="M5" s="379"/>
      <c r="N5" s="379"/>
      <c r="O5" s="379"/>
    </row>
    <row r="6" spans="2:33" ht="15" x14ac:dyDescent="0.25">
      <c r="C6" s="249"/>
      <c r="D6" s="379"/>
      <c r="E6" s="379"/>
      <c r="F6" s="379"/>
      <c r="G6" s="379"/>
      <c r="H6" s="379"/>
      <c r="I6" s="379"/>
      <c r="J6" s="379"/>
      <c r="K6" s="379"/>
      <c r="L6" s="379"/>
      <c r="M6" s="379"/>
      <c r="N6" s="379"/>
      <c r="O6" s="379"/>
    </row>
    <row r="7" spans="2:33" x14ac:dyDescent="0.25">
      <c r="C7" s="249"/>
    </row>
    <row r="8" spans="2:33" ht="48" customHeight="1" x14ac:dyDescent="0.25"/>
    <row r="9" spans="2:33" ht="46.5" customHeight="1" x14ac:dyDescent="0.25">
      <c r="B9" s="385" t="str">
        <f>IF(Tirage!H5="","",Tirage!H5)</f>
        <v>Eliminatoire 2ème tour</v>
      </c>
      <c r="C9" s="386"/>
      <c r="D9" s="386"/>
      <c r="E9" s="386"/>
      <c r="F9" s="386"/>
      <c r="G9" s="386"/>
      <c r="H9" s="386"/>
      <c r="I9" s="386"/>
      <c r="J9" s="386"/>
      <c r="K9" s="386"/>
      <c r="L9" s="386"/>
      <c r="M9" s="386"/>
      <c r="N9" s="386"/>
      <c r="O9" s="386"/>
      <c r="P9" s="386"/>
      <c r="Q9" s="387"/>
      <c r="S9" s="211" t="s">
        <v>190</v>
      </c>
    </row>
    <row r="10" spans="2:33" ht="38.25" customHeight="1" x14ac:dyDescent="0.25">
      <c r="B10" s="382" t="s">
        <v>191</v>
      </c>
      <c r="C10" s="382"/>
      <c r="D10" s="383" t="str">
        <f>IF(Tirage!H6="","",Tirage!H6)</f>
        <v>BANDE</v>
      </c>
      <c r="E10" s="383"/>
      <c r="F10" s="383"/>
      <c r="G10" s="382" t="s">
        <v>6</v>
      </c>
      <c r="H10" s="382"/>
      <c r="I10" s="382"/>
      <c r="J10" s="382"/>
      <c r="K10" s="382"/>
      <c r="L10" s="384" t="str">
        <f>IF(Tirage!H7="","",Tirage!H7)</f>
        <v>REGIONAL 1</v>
      </c>
      <c r="M10" s="384"/>
      <c r="N10" s="384"/>
      <c r="O10" s="384"/>
      <c r="P10" s="384"/>
      <c r="Q10" s="384"/>
      <c r="S10" s="211" t="s">
        <v>192</v>
      </c>
      <c r="T10" s="304"/>
      <c r="U10" s="304"/>
      <c r="V10" s="304"/>
      <c r="W10" s="304"/>
      <c r="X10" s="304"/>
      <c r="Y10" s="304"/>
      <c r="Z10" s="304"/>
      <c r="AA10" s="212"/>
    </row>
    <row r="11" spans="2:33" ht="40.5" customHeight="1" x14ac:dyDescent="0.25">
      <c r="B11" s="375" t="s">
        <v>193</v>
      </c>
      <c r="C11" s="375"/>
      <c r="D11" s="376" t="str">
        <f>IF(Tirage!H8="","",Tirage!H8)</f>
        <v>B.C CREVECOEUR</v>
      </c>
      <c r="E11" s="376"/>
      <c r="F11" s="376"/>
      <c r="G11" s="375" t="s">
        <v>8</v>
      </c>
      <c r="H11" s="375"/>
      <c r="I11" s="375"/>
      <c r="J11" s="375"/>
      <c r="K11" s="375"/>
      <c r="L11" s="377">
        <f>IF(Tirage!H9="","",Tirage!H9)</f>
        <v>45612</v>
      </c>
      <c r="M11" s="377"/>
      <c r="N11" s="377"/>
      <c r="O11" s="377"/>
      <c r="P11" s="377"/>
      <c r="Q11" s="377"/>
      <c r="S11" s="211" t="s">
        <v>194</v>
      </c>
      <c r="T11" s="304"/>
      <c r="U11" s="304"/>
      <c r="V11" s="304"/>
      <c r="W11" s="304"/>
      <c r="X11" s="304"/>
      <c r="Y11" s="304"/>
      <c r="Z11" s="304"/>
      <c r="AA11" s="212"/>
    </row>
    <row r="12" spans="2:33" ht="35.25" customHeight="1" x14ac:dyDescent="0.25">
      <c r="S12" s="212"/>
      <c r="T12" s="304"/>
      <c r="U12" s="304"/>
      <c r="V12" s="304"/>
      <c r="W12" s="304"/>
      <c r="X12" s="304"/>
      <c r="Y12" s="304"/>
      <c r="Z12" s="304"/>
      <c r="AA12" s="212"/>
    </row>
    <row r="13" spans="2:33" ht="15" customHeight="1" x14ac:dyDescent="0.25">
      <c r="B13" s="378" t="s">
        <v>195</v>
      </c>
      <c r="C13" s="370" t="s">
        <v>196</v>
      </c>
      <c r="D13" s="370"/>
      <c r="E13" s="370" t="s">
        <v>197</v>
      </c>
      <c r="F13" s="370"/>
      <c r="G13" s="370"/>
      <c r="H13" s="370"/>
      <c r="I13" s="370"/>
      <c r="J13" s="370"/>
      <c r="K13" s="370"/>
      <c r="L13" s="370" t="s">
        <v>183</v>
      </c>
      <c r="M13" s="370" t="s">
        <v>198</v>
      </c>
      <c r="N13" s="370" t="s">
        <v>199</v>
      </c>
      <c r="O13" s="370" t="s">
        <v>200</v>
      </c>
      <c r="P13" s="370" t="s">
        <v>201</v>
      </c>
      <c r="Q13" s="370" t="s">
        <v>185</v>
      </c>
      <c r="S13" s="212"/>
      <c r="T13" s="304"/>
      <c r="U13" s="304"/>
      <c r="V13" s="304"/>
      <c r="W13" s="304"/>
      <c r="X13" s="304"/>
      <c r="Y13" s="304"/>
      <c r="Z13" s="304"/>
      <c r="AA13" s="212"/>
    </row>
    <row r="14" spans="2:33" x14ac:dyDescent="0.25">
      <c r="B14" s="378"/>
      <c r="C14" s="371"/>
      <c r="D14" s="371"/>
      <c r="E14" s="371"/>
      <c r="F14" s="371"/>
      <c r="G14" s="371"/>
      <c r="H14" s="371"/>
      <c r="I14" s="371"/>
      <c r="J14" s="371"/>
      <c r="K14" s="371"/>
      <c r="L14" s="371"/>
      <c r="M14" s="380"/>
      <c r="N14" s="371"/>
      <c r="O14" s="371"/>
      <c r="P14" s="371"/>
      <c r="Q14" s="371"/>
      <c r="S14" s="212"/>
      <c r="T14" s="304"/>
      <c r="U14" s="304"/>
      <c r="V14" s="304"/>
      <c r="W14" s="304"/>
      <c r="X14" s="304"/>
      <c r="Y14" s="304"/>
      <c r="Z14" s="304"/>
      <c r="AA14" s="212"/>
    </row>
    <row r="15" spans="2:33" ht="27.75" customHeight="1" x14ac:dyDescent="0.25">
      <c r="B15" s="378"/>
      <c r="C15" s="372"/>
      <c r="D15" s="372"/>
      <c r="E15" s="372"/>
      <c r="F15" s="372"/>
      <c r="G15" s="372"/>
      <c r="H15" s="372"/>
      <c r="I15" s="372"/>
      <c r="J15" s="372"/>
      <c r="K15" s="372"/>
      <c r="L15" s="372"/>
      <c r="M15" s="381"/>
      <c r="N15" s="372"/>
      <c r="O15" s="372"/>
      <c r="P15" s="372"/>
      <c r="Q15" s="372"/>
      <c r="S15" s="207" t="str">
        <f>'Classement impression'!C11</f>
        <v>NOM</v>
      </c>
      <c r="T15" s="254" t="s">
        <v>197</v>
      </c>
      <c r="U15" s="254" t="str">
        <f>'Classement impression'!I11</f>
        <v>Pts</v>
      </c>
      <c r="V15" s="305" t="str">
        <f>'Classement impression'!D11</f>
        <v>Pts</v>
      </c>
      <c r="W15" s="254" t="str">
        <f>'Classement impression'!E11</f>
        <v>Rep</v>
      </c>
      <c r="X15" s="254" t="str">
        <f>'Classement impression'!H11</f>
        <v>Moyenne</v>
      </c>
      <c r="Y15" s="254" t="str">
        <f>'Classement impression'!G11</f>
        <v>Part</v>
      </c>
      <c r="Z15" s="254" t="str">
        <f>'Classement impression'!F11</f>
        <v>Série</v>
      </c>
      <c r="AA15" s="212"/>
    </row>
    <row r="16" spans="2:33" ht="28.5" customHeight="1" x14ac:dyDescent="0.25">
      <c r="B16" s="208">
        <v>1</v>
      </c>
      <c r="C16" s="373" t="str">
        <f>IF(S16="","",S16)</f>
        <v>DAVID MICHEL</v>
      </c>
      <c r="D16" s="373"/>
      <c r="E16" s="374" t="str">
        <f>IF(T16="","",T16)</f>
        <v>112083X</v>
      </c>
      <c r="F16" s="374"/>
      <c r="G16" s="374"/>
      <c r="H16" s="374"/>
      <c r="I16" s="374"/>
      <c r="J16" s="374"/>
      <c r="K16" s="374"/>
      <c r="L16" s="209">
        <f>IF(U16="","",U16)</f>
        <v>4</v>
      </c>
      <c r="M16" s="209">
        <f t="shared" ref="M16:Q16" si="0">IF(V16="","",V16)</f>
        <v>120</v>
      </c>
      <c r="N16" s="209">
        <f t="shared" si="0"/>
        <v>74</v>
      </c>
      <c r="O16" s="210">
        <f t="shared" si="0"/>
        <v>1.6216216216216217</v>
      </c>
      <c r="P16" s="210">
        <f t="shared" si="0"/>
        <v>1.6666666666666667</v>
      </c>
      <c r="Q16" s="209">
        <f t="shared" si="0"/>
        <v>6</v>
      </c>
      <c r="S16" s="207" t="str">
        <f>IF('Classement impression'!C12="","",'Classement impression'!C12)</f>
        <v>DAVID MICHEL</v>
      </c>
      <c r="T16" s="254" t="str">
        <f>IF(S16="","",VLOOKUP(S16,Tirage!$B$6:$C$13,2,FALSE))</f>
        <v>112083X</v>
      </c>
      <c r="U16" s="254">
        <f>IF('Classement impression'!I12="","",'Classement impression'!I12)</f>
        <v>4</v>
      </c>
      <c r="V16" s="254">
        <f>IF('Classement impression'!D12="","",'Classement impression'!D12)</f>
        <v>120</v>
      </c>
      <c r="W16" s="254">
        <f>IF('Classement impression'!E12="","",'Classement impression'!E12)</f>
        <v>74</v>
      </c>
      <c r="X16" s="254">
        <f>IF('Classement impression'!H12="","",'Classement impression'!H12)</f>
        <v>1.6216216216216217</v>
      </c>
      <c r="Y16" s="254">
        <f>IF('Classement impression'!G12="","",'Classement impression'!G12)</f>
        <v>1.6666666666666667</v>
      </c>
      <c r="Z16" s="254">
        <f>IF('Classement impression'!F12="","",'Classement impression'!F12)</f>
        <v>6</v>
      </c>
      <c r="AA16" s="207"/>
      <c r="AB16" s="211" t="s">
        <v>202</v>
      </c>
      <c r="AC16" s="211" t="s">
        <v>202</v>
      </c>
      <c r="AD16" s="211" t="s">
        <v>202</v>
      </c>
      <c r="AE16" s="213" t="s">
        <v>202</v>
      </c>
      <c r="AF16" s="213" t="s">
        <v>202</v>
      </c>
      <c r="AG16" s="211" t="s">
        <v>202</v>
      </c>
    </row>
    <row r="17" spans="2:33" ht="28.5" customHeight="1" x14ac:dyDescent="0.25">
      <c r="B17" s="214">
        <v>2</v>
      </c>
      <c r="C17" s="365" t="str">
        <f t="shared" ref="C17:C23" si="1">IF(S17="","",S17)</f>
        <v>BLANCHARD THIERRY</v>
      </c>
      <c r="D17" s="365"/>
      <c r="E17" s="353" t="str">
        <f t="shared" ref="E17:E23" si="2">IF(T17="","",T17)</f>
        <v>102525H</v>
      </c>
      <c r="F17" s="353"/>
      <c r="G17" s="353"/>
      <c r="H17" s="353"/>
      <c r="I17" s="353"/>
      <c r="J17" s="353"/>
      <c r="K17" s="353"/>
      <c r="L17" s="215">
        <f t="shared" ref="L17:L23" si="3">IF(U17="","",U17)</f>
        <v>4</v>
      </c>
      <c r="M17" s="215">
        <f t="shared" ref="M17:M23" si="4">IF(V17="","",V17)</f>
        <v>118</v>
      </c>
      <c r="N17" s="215">
        <f t="shared" ref="N17:N23" si="5">IF(W17="","",W17)</f>
        <v>77</v>
      </c>
      <c r="O17" s="216">
        <f t="shared" ref="O17:O23" si="6">IF(X17="","",X17)</f>
        <v>1.5324675324675325</v>
      </c>
      <c r="P17" s="216">
        <f t="shared" ref="P17:P23" si="7">IF(Y17="","",Y17)</f>
        <v>1.6216216216216217</v>
      </c>
      <c r="Q17" s="215">
        <f t="shared" ref="Q17:Q23" si="8">IF(Z17="","",Z17)</f>
        <v>14</v>
      </c>
      <c r="S17" s="207" t="str">
        <f>IF('Classement impression'!C13="","",'Classement impression'!C13)</f>
        <v>BLANCHARD THIERRY</v>
      </c>
      <c r="T17" s="254" t="str">
        <f>IF(S17="","",VLOOKUP(S17,Tirage!$B$6:$C$13,2,FALSE))</f>
        <v>102525H</v>
      </c>
      <c r="U17" s="254">
        <f>IF('Classement impression'!I13="","",'Classement impression'!I13)</f>
        <v>4</v>
      </c>
      <c r="V17" s="254">
        <f>IF('Classement impression'!D13="","",'Classement impression'!D13)</f>
        <v>118</v>
      </c>
      <c r="W17" s="254">
        <f>IF('Classement impression'!E13="","",'Classement impression'!E13)</f>
        <v>77</v>
      </c>
      <c r="X17" s="254">
        <f>IF('Classement impression'!H13="","",'Classement impression'!H13)</f>
        <v>1.5324675324675325</v>
      </c>
      <c r="Y17" s="254">
        <f>IF('Classement impression'!G13="","",'Classement impression'!G13)</f>
        <v>1.6216216216216217</v>
      </c>
      <c r="Z17" s="254">
        <f>IF('Classement impression'!F13="","",'Classement impression'!F13)</f>
        <v>14</v>
      </c>
      <c r="AA17" s="207"/>
      <c r="AB17" s="211" t="s">
        <v>202</v>
      </c>
      <c r="AC17" s="211" t="s">
        <v>202</v>
      </c>
      <c r="AD17" s="211" t="s">
        <v>202</v>
      </c>
      <c r="AE17" s="213" t="s">
        <v>202</v>
      </c>
      <c r="AF17" s="213" t="s">
        <v>202</v>
      </c>
      <c r="AG17" s="211" t="s">
        <v>202</v>
      </c>
    </row>
    <row r="18" spans="2:33" ht="28.5" customHeight="1" x14ac:dyDescent="0.25">
      <c r="B18" s="214">
        <v>3</v>
      </c>
      <c r="C18" s="365" t="str">
        <f t="shared" si="1"/>
        <v>CARDON CHRISTIAN</v>
      </c>
      <c r="D18" s="365"/>
      <c r="E18" s="353" t="str">
        <f t="shared" si="2"/>
        <v>020668Y</v>
      </c>
      <c r="F18" s="353"/>
      <c r="G18" s="353"/>
      <c r="H18" s="353"/>
      <c r="I18" s="353"/>
      <c r="J18" s="353"/>
      <c r="K18" s="353"/>
      <c r="L18" s="215">
        <f t="shared" si="3"/>
        <v>2</v>
      </c>
      <c r="M18" s="215">
        <f t="shared" si="4"/>
        <v>116</v>
      </c>
      <c r="N18" s="215">
        <f t="shared" si="5"/>
        <v>77</v>
      </c>
      <c r="O18" s="216">
        <f t="shared" si="6"/>
        <v>1.5064935064935066</v>
      </c>
      <c r="P18" s="216">
        <f t="shared" si="7"/>
        <v>1.6216216216216217</v>
      </c>
      <c r="Q18" s="215">
        <f t="shared" si="8"/>
        <v>8</v>
      </c>
      <c r="S18" s="207" t="str">
        <f>IF('Classement impression'!C14="","",'Classement impression'!C14)</f>
        <v>CARDON CHRISTIAN</v>
      </c>
      <c r="T18" s="254" t="str">
        <f>IF(S18="","",VLOOKUP(S18,Tirage!$B$6:$C$13,2,FALSE))</f>
        <v>020668Y</v>
      </c>
      <c r="U18" s="254">
        <f>IF('Classement impression'!I14="","",'Classement impression'!I14)</f>
        <v>2</v>
      </c>
      <c r="V18" s="254">
        <f>IF('Classement impression'!D14="","",'Classement impression'!D14)</f>
        <v>116</v>
      </c>
      <c r="W18" s="254">
        <f>IF('Classement impression'!E14="","",'Classement impression'!E14)</f>
        <v>77</v>
      </c>
      <c r="X18" s="254">
        <f>IF('Classement impression'!H14="","",'Classement impression'!H14)</f>
        <v>1.5064935064935066</v>
      </c>
      <c r="Y18" s="254">
        <f>IF('Classement impression'!G14="","",'Classement impression'!G14)</f>
        <v>1.6216216216216217</v>
      </c>
      <c r="Z18" s="254">
        <f>IF('Classement impression'!F14="","",'Classement impression'!F14)</f>
        <v>8</v>
      </c>
      <c r="AA18" s="207"/>
      <c r="AB18" s="211" t="s">
        <v>202</v>
      </c>
      <c r="AC18" s="211" t="s">
        <v>202</v>
      </c>
      <c r="AD18" s="211" t="s">
        <v>202</v>
      </c>
      <c r="AE18" s="213" t="s">
        <v>202</v>
      </c>
      <c r="AF18" s="213" t="s">
        <v>202</v>
      </c>
      <c r="AG18" s="211" t="s">
        <v>202</v>
      </c>
    </row>
    <row r="19" spans="2:33" ht="28.5" customHeight="1" x14ac:dyDescent="0.25">
      <c r="B19" s="214">
        <v>4</v>
      </c>
      <c r="C19" s="365" t="str">
        <f t="shared" si="1"/>
        <v>FAREZ MICHEL</v>
      </c>
      <c r="D19" s="365"/>
      <c r="E19" s="353" t="str">
        <f t="shared" si="2"/>
        <v>139231B</v>
      </c>
      <c r="F19" s="353"/>
      <c r="G19" s="353"/>
      <c r="H19" s="353"/>
      <c r="I19" s="353"/>
      <c r="J19" s="353"/>
      <c r="K19" s="353"/>
      <c r="L19" s="215">
        <f t="shared" si="3"/>
        <v>2</v>
      </c>
      <c r="M19" s="215">
        <f t="shared" si="4"/>
        <v>100</v>
      </c>
      <c r="N19" s="215">
        <f t="shared" si="5"/>
        <v>76</v>
      </c>
      <c r="O19" s="216">
        <f t="shared" si="6"/>
        <v>1.3157894736842106</v>
      </c>
      <c r="P19" s="216">
        <f t="shared" si="7"/>
        <v>1.2749999999999999</v>
      </c>
      <c r="Q19" s="215">
        <f t="shared" si="8"/>
        <v>7</v>
      </c>
      <c r="S19" s="207" t="str">
        <f>IF('Classement impression'!C15="","",'Classement impression'!C15)</f>
        <v>FAREZ MICHEL</v>
      </c>
      <c r="T19" s="254" t="str">
        <f>IF(S19="","",VLOOKUP(S19,Tirage!$B$6:$C$13,2,FALSE))</f>
        <v>139231B</v>
      </c>
      <c r="U19" s="254">
        <f>IF('Classement impression'!I15="","",'Classement impression'!I15)</f>
        <v>2</v>
      </c>
      <c r="V19" s="254">
        <f>IF('Classement impression'!D15="","",'Classement impression'!D15)</f>
        <v>100</v>
      </c>
      <c r="W19" s="254">
        <f>IF('Classement impression'!E15="","",'Classement impression'!E15)</f>
        <v>76</v>
      </c>
      <c r="X19" s="254">
        <f>IF('Classement impression'!H15="","",'Classement impression'!H15)</f>
        <v>1.3157894736842106</v>
      </c>
      <c r="Y19" s="254">
        <f>IF('Classement impression'!G15="","",'Classement impression'!G15)</f>
        <v>1.2749999999999999</v>
      </c>
      <c r="Z19" s="254">
        <f>IF('Classement impression'!F15="","",'Classement impression'!F15)</f>
        <v>7</v>
      </c>
      <c r="AA19" s="207"/>
      <c r="AB19" s="211" t="s">
        <v>202</v>
      </c>
      <c r="AC19" s="211" t="s">
        <v>202</v>
      </c>
      <c r="AD19" s="211" t="s">
        <v>202</v>
      </c>
      <c r="AE19" s="213" t="s">
        <v>202</v>
      </c>
      <c r="AF19" s="213" t="s">
        <v>202</v>
      </c>
      <c r="AG19" s="211" t="s">
        <v>202</v>
      </c>
    </row>
    <row r="20" spans="2:33" ht="28.5" customHeight="1" x14ac:dyDescent="0.25">
      <c r="B20" s="214">
        <v>5</v>
      </c>
      <c r="C20" s="365" t="str">
        <f t="shared" si="1"/>
        <v>GERONIMI THIERRY</v>
      </c>
      <c r="D20" s="365"/>
      <c r="E20" s="353" t="str">
        <f t="shared" si="2"/>
        <v>104115L</v>
      </c>
      <c r="F20" s="353"/>
      <c r="G20" s="353"/>
      <c r="H20" s="353"/>
      <c r="I20" s="353"/>
      <c r="J20" s="353"/>
      <c r="K20" s="353"/>
      <c r="L20" s="215">
        <f t="shared" si="3"/>
        <v>0</v>
      </c>
      <c r="M20" s="215">
        <f t="shared" si="4"/>
        <v>91</v>
      </c>
      <c r="N20" s="215">
        <f t="shared" si="5"/>
        <v>74</v>
      </c>
      <c r="O20" s="216">
        <f t="shared" si="6"/>
        <v>1.2297297297297298</v>
      </c>
      <c r="P20" s="216">
        <f t="shared" si="7"/>
        <v>0</v>
      </c>
      <c r="Q20" s="215">
        <f t="shared" si="8"/>
        <v>9</v>
      </c>
      <c r="S20" s="207" t="str">
        <f>IF('Classement impression'!C16="","",'Classement impression'!C16)</f>
        <v>GERONIMI THIERRY</v>
      </c>
      <c r="T20" s="254" t="str">
        <f>IF(S20="","",VLOOKUP(S20,Tirage!$B$6:$C$13,2,FALSE))</f>
        <v>104115L</v>
      </c>
      <c r="U20" s="254">
        <f>IF('Classement impression'!I16="","",'Classement impression'!I16)</f>
        <v>0</v>
      </c>
      <c r="V20" s="254">
        <f>IF('Classement impression'!D16="","",'Classement impression'!D16)</f>
        <v>91</v>
      </c>
      <c r="W20" s="254">
        <f>IF('Classement impression'!E16="","",'Classement impression'!E16)</f>
        <v>74</v>
      </c>
      <c r="X20" s="254">
        <f>IF('Classement impression'!H16="","",'Classement impression'!H16)</f>
        <v>1.2297297297297298</v>
      </c>
      <c r="Y20" s="254">
        <f>IF('Classement impression'!G16="","",'Classement impression'!G16)</f>
        <v>0</v>
      </c>
      <c r="Z20" s="254">
        <f>IF('Classement impression'!F16="","",'Classement impression'!F16)</f>
        <v>9</v>
      </c>
      <c r="AA20" s="207"/>
      <c r="AB20" s="211" t="s">
        <v>202</v>
      </c>
      <c r="AC20" s="211" t="s">
        <v>202</v>
      </c>
      <c r="AD20" s="211" t="s">
        <v>202</v>
      </c>
      <c r="AE20" s="213" t="s">
        <v>202</v>
      </c>
      <c r="AF20" s="213" t="s">
        <v>202</v>
      </c>
      <c r="AG20" s="211" t="s">
        <v>202</v>
      </c>
    </row>
    <row r="21" spans="2:33" ht="28.5" customHeight="1" x14ac:dyDescent="0.25">
      <c r="B21" s="214">
        <v>6</v>
      </c>
      <c r="C21" s="365" t="str">
        <f t="shared" si="1"/>
        <v>LENGAIGNE DANIEL</v>
      </c>
      <c r="D21" s="365"/>
      <c r="E21" s="353" t="str">
        <f t="shared" si="2"/>
        <v>137517D</v>
      </c>
      <c r="F21" s="353"/>
      <c r="G21" s="353"/>
      <c r="H21" s="353"/>
      <c r="I21" s="353"/>
      <c r="J21" s="353"/>
      <c r="K21" s="353"/>
      <c r="L21" s="215">
        <f t="shared" si="3"/>
        <v>0</v>
      </c>
      <c r="M21" s="215">
        <f t="shared" si="4"/>
        <v>81</v>
      </c>
      <c r="N21" s="215">
        <f t="shared" si="5"/>
        <v>78</v>
      </c>
      <c r="O21" s="216">
        <f t="shared" si="6"/>
        <v>1.0384615384615385</v>
      </c>
      <c r="P21" s="216">
        <f t="shared" si="7"/>
        <v>0</v>
      </c>
      <c r="Q21" s="215">
        <f t="shared" si="8"/>
        <v>8</v>
      </c>
      <c r="S21" s="207" t="str">
        <f>IF('Classement impression'!C17="","",'Classement impression'!C17)</f>
        <v>LENGAIGNE DANIEL</v>
      </c>
      <c r="T21" s="254" t="str">
        <f>IF(S21="","",VLOOKUP(S21,Tirage!$B$6:$C$13,2,FALSE))</f>
        <v>137517D</v>
      </c>
      <c r="U21" s="254">
        <f>IF('Classement impression'!I17="","",'Classement impression'!I17)</f>
        <v>0</v>
      </c>
      <c r="V21" s="254">
        <f>IF('Classement impression'!D17="","",'Classement impression'!D17)</f>
        <v>81</v>
      </c>
      <c r="W21" s="254">
        <f>IF('Classement impression'!E17="","",'Classement impression'!E17)</f>
        <v>78</v>
      </c>
      <c r="X21" s="254">
        <f>IF('Classement impression'!H17="","",'Classement impression'!H17)</f>
        <v>1.0384615384615385</v>
      </c>
      <c r="Y21" s="254">
        <f>IF('Classement impression'!G17="","",'Classement impression'!G17)</f>
        <v>0</v>
      </c>
      <c r="Z21" s="254">
        <f>IF('Classement impression'!F17="","",'Classement impression'!F17)</f>
        <v>8</v>
      </c>
      <c r="AA21" s="207"/>
      <c r="AB21" s="211" t="s">
        <v>202</v>
      </c>
      <c r="AC21" s="211" t="s">
        <v>202</v>
      </c>
      <c r="AD21" s="211" t="s">
        <v>202</v>
      </c>
      <c r="AE21" s="213" t="s">
        <v>202</v>
      </c>
      <c r="AF21" s="213" t="s">
        <v>202</v>
      </c>
      <c r="AG21" s="211" t="s">
        <v>202</v>
      </c>
    </row>
    <row r="22" spans="2:33" ht="28.5" customHeight="1" x14ac:dyDescent="0.25">
      <c r="B22" s="214">
        <v>7</v>
      </c>
      <c r="C22" s="365" t="str">
        <f t="shared" si="1"/>
        <v/>
      </c>
      <c r="D22" s="365"/>
      <c r="E22" s="353" t="str">
        <f t="shared" si="2"/>
        <v/>
      </c>
      <c r="F22" s="353"/>
      <c r="G22" s="353"/>
      <c r="H22" s="353"/>
      <c r="I22" s="353"/>
      <c r="J22" s="353"/>
      <c r="K22" s="353"/>
      <c r="L22" s="215" t="str">
        <f t="shared" si="3"/>
        <v/>
      </c>
      <c r="M22" s="215" t="str">
        <f t="shared" si="4"/>
        <v/>
      </c>
      <c r="N22" s="215" t="str">
        <f t="shared" si="5"/>
        <v/>
      </c>
      <c r="O22" s="216" t="str">
        <f t="shared" si="6"/>
        <v/>
      </c>
      <c r="P22" s="216" t="str">
        <f t="shared" si="7"/>
        <v/>
      </c>
      <c r="Q22" s="215" t="str">
        <f t="shared" si="8"/>
        <v/>
      </c>
      <c r="R22" s="251"/>
      <c r="S22" s="207" t="str">
        <f>IF('Classement impression'!C18="","",'Classement impression'!C18)</f>
        <v/>
      </c>
      <c r="T22" s="254" t="str">
        <f>IF(S22="","",VLOOKUP(S22,Tirage!$B$6:$C$13,2,FALSE))</f>
        <v/>
      </c>
      <c r="U22" s="254" t="str">
        <f>IF('Classement impression'!I18="","",'Classement impression'!I18)</f>
        <v/>
      </c>
      <c r="V22" s="254" t="str">
        <f>IF('Classement impression'!D18="","",'Classement impression'!D18)</f>
        <v/>
      </c>
      <c r="W22" s="254" t="str">
        <f>IF('Classement impression'!E18="","",'Classement impression'!E18)</f>
        <v/>
      </c>
      <c r="X22" s="254" t="str">
        <f>IF('Classement impression'!H18="","",'Classement impression'!H18)</f>
        <v/>
      </c>
      <c r="Y22" s="254" t="str">
        <f>IF('Classement impression'!G18="","",'Classement impression'!G18)</f>
        <v/>
      </c>
      <c r="Z22" s="254" t="str">
        <f>IF('Classement impression'!F18="","",'Classement impression'!F18)</f>
        <v/>
      </c>
      <c r="AA22" s="207"/>
    </row>
    <row r="23" spans="2:33" ht="28.5" customHeight="1" x14ac:dyDescent="0.25">
      <c r="B23" s="217">
        <v>8</v>
      </c>
      <c r="C23" s="367" t="str">
        <f t="shared" si="1"/>
        <v/>
      </c>
      <c r="D23" s="367"/>
      <c r="E23" s="368" t="str">
        <f t="shared" si="2"/>
        <v/>
      </c>
      <c r="F23" s="368"/>
      <c r="G23" s="368"/>
      <c r="H23" s="368"/>
      <c r="I23" s="368"/>
      <c r="J23" s="368"/>
      <c r="K23" s="368"/>
      <c r="L23" s="218" t="str">
        <f t="shared" si="3"/>
        <v/>
      </c>
      <c r="M23" s="218" t="str">
        <f t="shared" si="4"/>
        <v/>
      </c>
      <c r="N23" s="218" t="str">
        <f t="shared" si="5"/>
        <v/>
      </c>
      <c r="O23" s="219" t="str">
        <f t="shared" si="6"/>
        <v/>
      </c>
      <c r="P23" s="219" t="str">
        <f t="shared" si="7"/>
        <v/>
      </c>
      <c r="Q23" s="218" t="str">
        <f t="shared" si="8"/>
        <v/>
      </c>
      <c r="R23" s="251"/>
      <c r="S23" s="207" t="str">
        <f>IF('Classement impression'!C19="","",'Classement impression'!C19)</f>
        <v/>
      </c>
      <c r="T23" s="254" t="str">
        <f>IF(S23="","",VLOOKUP(S23,Tirage!$B$6:$C$13,2,FALSE))</f>
        <v/>
      </c>
      <c r="U23" s="254" t="str">
        <f>IF('Classement impression'!I19="","",'Classement impression'!I19)</f>
        <v/>
      </c>
      <c r="V23" s="254" t="str">
        <f>IF('Classement impression'!D19="","",'Classement impression'!D19)</f>
        <v/>
      </c>
      <c r="W23" s="254" t="str">
        <f>IF('Classement impression'!E19="","",'Classement impression'!E19)</f>
        <v/>
      </c>
      <c r="X23" s="254" t="str">
        <f>IF('Classement impression'!H19="","",'Classement impression'!H19)</f>
        <v/>
      </c>
      <c r="Y23" s="254" t="str">
        <f>IF('Classement impression'!G19="","",'Classement impression'!G19)</f>
        <v/>
      </c>
      <c r="Z23" s="254" t="str">
        <f>IF('Classement impression'!F19="","",'Classement impression'!F19)</f>
        <v/>
      </c>
      <c r="AA23" s="207"/>
    </row>
    <row r="24" spans="2:33" x14ac:dyDescent="0.25">
      <c r="C24" s="251"/>
      <c r="D24" s="252"/>
      <c r="E24" s="361"/>
      <c r="F24" s="361"/>
      <c r="G24" s="361"/>
      <c r="H24" s="361"/>
      <c r="I24" s="361"/>
      <c r="J24" s="361"/>
      <c r="K24" s="361"/>
      <c r="L24" s="253"/>
      <c r="M24" s="253"/>
      <c r="N24" s="253"/>
      <c r="O24" s="255"/>
      <c r="P24" s="255"/>
      <c r="Q24" s="253"/>
      <c r="S24" s="212"/>
      <c r="T24" s="304"/>
      <c r="U24" s="304"/>
      <c r="V24" s="304"/>
      <c r="W24" s="304"/>
      <c r="X24" s="304"/>
      <c r="Y24" s="304"/>
      <c r="Z24" s="304"/>
      <c r="AA24" s="212"/>
    </row>
    <row r="25" spans="2:33" x14ac:dyDescent="0.25">
      <c r="C25" s="251"/>
      <c r="D25" s="252"/>
      <c r="E25" s="361"/>
      <c r="F25" s="361"/>
      <c r="G25" s="361"/>
      <c r="H25" s="361"/>
      <c r="I25" s="361"/>
      <c r="J25" s="361"/>
      <c r="K25" s="361"/>
      <c r="L25" s="253"/>
      <c r="M25" s="253"/>
      <c r="N25" s="253"/>
      <c r="O25" s="255"/>
      <c r="P25" s="255"/>
      <c r="Q25" s="253"/>
    </row>
    <row r="26" spans="2:33" x14ac:dyDescent="0.25">
      <c r="C26" s="256"/>
    </row>
    <row r="27" spans="2:33" x14ac:dyDescent="0.25">
      <c r="C27" s="256"/>
    </row>
    <row r="28" spans="2:33" ht="23.25" customHeight="1" x14ac:dyDescent="0.25">
      <c r="B28" s="362" t="s">
        <v>203</v>
      </c>
      <c r="C28" s="362"/>
      <c r="D28" s="362"/>
      <c r="E28" s="362"/>
      <c r="F28" s="362"/>
      <c r="G28" s="362"/>
      <c r="H28" s="362"/>
      <c r="I28" s="362"/>
      <c r="J28" s="362"/>
      <c r="K28" s="362"/>
      <c r="L28" s="362"/>
      <c r="M28" s="362"/>
      <c r="N28" s="362"/>
      <c r="O28" s="362"/>
      <c r="P28" s="362"/>
      <c r="Q28" s="362"/>
    </row>
    <row r="29" spans="2:33" ht="31.5" customHeight="1" x14ac:dyDescent="0.25">
      <c r="B29" s="220">
        <v>1</v>
      </c>
      <c r="C29" s="363"/>
      <c r="D29" s="363"/>
      <c r="E29" s="364"/>
      <c r="F29" s="364"/>
      <c r="G29" s="364"/>
      <c r="H29" s="364"/>
      <c r="I29" s="364"/>
      <c r="J29" s="364"/>
      <c r="K29" s="364"/>
      <c r="L29" s="221"/>
      <c r="M29" s="221"/>
      <c r="N29" s="221"/>
      <c r="O29" s="221"/>
      <c r="P29" s="221"/>
      <c r="Q29" s="221"/>
    </row>
    <row r="30" spans="2:33" ht="31.5" customHeight="1" x14ac:dyDescent="0.25">
      <c r="B30" s="222">
        <v>2</v>
      </c>
      <c r="C30" s="367"/>
      <c r="D30" s="367"/>
      <c r="E30" s="369"/>
      <c r="F30" s="369"/>
      <c r="G30" s="369"/>
      <c r="H30" s="369"/>
      <c r="I30" s="369"/>
      <c r="J30" s="369"/>
      <c r="K30" s="369"/>
      <c r="L30" s="223"/>
      <c r="M30" s="223"/>
      <c r="N30" s="223"/>
      <c r="O30" s="223"/>
      <c r="P30" s="223"/>
      <c r="Q30" s="223"/>
    </row>
    <row r="32" spans="2:33" ht="66.75" customHeight="1" x14ac:dyDescent="0.25"/>
    <row r="33" spans="2:26" s="257" customFormat="1" ht="18" x14ac:dyDescent="0.25">
      <c r="C33" s="257" t="s">
        <v>204</v>
      </c>
      <c r="M33" s="366" t="str">
        <f>IF(Tirage!H13="","",Tirage!H13)</f>
        <v>BILLY DAVID</v>
      </c>
      <c r="N33" s="366"/>
      <c r="O33" s="366"/>
      <c r="P33" s="366"/>
      <c r="Q33" s="366"/>
      <c r="T33" s="250"/>
      <c r="U33" s="250"/>
      <c r="V33" s="250"/>
      <c r="W33" s="250"/>
      <c r="X33" s="250"/>
      <c r="Y33" s="250"/>
      <c r="Z33" s="250"/>
    </row>
    <row r="34" spans="2:26" s="257" customFormat="1" ht="18" x14ac:dyDescent="0.25">
      <c r="T34" s="250"/>
      <c r="U34" s="250"/>
      <c r="V34" s="250"/>
      <c r="W34" s="250"/>
      <c r="X34" s="250"/>
      <c r="Y34" s="250"/>
      <c r="Z34" s="250"/>
    </row>
    <row r="35" spans="2:26" s="257" customFormat="1" ht="18" x14ac:dyDescent="0.25">
      <c r="T35" s="250"/>
      <c r="U35" s="250"/>
      <c r="V35" s="250"/>
      <c r="W35" s="250"/>
      <c r="X35" s="250"/>
      <c r="Y35" s="250"/>
      <c r="Z35" s="250"/>
    </row>
    <row r="36" spans="2:26" s="257" customFormat="1" ht="18" x14ac:dyDescent="0.25">
      <c r="B36" s="257" t="s">
        <v>205</v>
      </c>
      <c r="C36" s="354" t="s">
        <v>499</v>
      </c>
      <c r="D36" s="354"/>
      <c r="M36" s="257" t="s">
        <v>206</v>
      </c>
      <c r="T36" s="250"/>
      <c r="U36" s="250"/>
      <c r="V36" s="250"/>
      <c r="W36" s="250"/>
      <c r="X36" s="250"/>
      <c r="Y36" s="250"/>
      <c r="Z36" s="250"/>
    </row>
    <row r="37" spans="2:26" s="257" customFormat="1" ht="18" x14ac:dyDescent="0.25">
      <c r="T37" s="250"/>
      <c r="U37" s="250"/>
      <c r="V37" s="250"/>
      <c r="W37" s="250"/>
      <c r="X37" s="250"/>
      <c r="Y37" s="250"/>
      <c r="Z37" s="250"/>
    </row>
    <row r="38" spans="2:26" s="257" customFormat="1" ht="52.5" customHeight="1" x14ac:dyDescent="0.25">
      <c r="T38" s="250"/>
      <c r="U38" s="250"/>
      <c r="V38" s="250"/>
      <c r="W38" s="250"/>
      <c r="X38" s="250"/>
      <c r="Y38" s="250"/>
      <c r="Z38" s="250"/>
    </row>
    <row r="39" spans="2:26" s="257" customFormat="1" ht="25.5" customHeight="1" x14ac:dyDescent="0.25">
      <c r="B39" s="355" t="s">
        <v>207</v>
      </c>
      <c r="C39" s="356"/>
      <c r="D39" s="356"/>
      <c r="E39" s="356"/>
      <c r="F39" s="356"/>
      <c r="G39" s="356"/>
      <c r="H39" s="356"/>
      <c r="I39" s="356"/>
      <c r="J39" s="356"/>
      <c r="K39" s="356"/>
      <c r="L39" s="356"/>
      <c r="M39" s="356"/>
      <c r="N39" s="356"/>
      <c r="O39" s="356"/>
      <c r="P39" s="356"/>
      <c r="Q39" s="357"/>
      <c r="T39" s="250"/>
      <c r="U39" s="250"/>
      <c r="V39" s="250"/>
      <c r="W39" s="250"/>
      <c r="X39" s="250"/>
      <c r="Y39" s="250"/>
      <c r="Z39" s="250"/>
    </row>
    <row r="40" spans="2:26" s="257" customFormat="1" ht="36.75" customHeight="1" x14ac:dyDescent="0.25">
      <c r="B40" s="358" t="s">
        <v>208</v>
      </c>
      <c r="C40" s="359"/>
      <c r="D40" s="359"/>
      <c r="E40" s="359"/>
      <c r="F40" s="359"/>
      <c r="G40" s="359"/>
      <c r="H40" s="359"/>
      <c r="I40" s="359"/>
      <c r="J40" s="359"/>
      <c r="K40" s="359"/>
      <c r="L40" s="359"/>
      <c r="M40" s="359"/>
      <c r="N40" s="359"/>
      <c r="O40" s="359"/>
      <c r="P40" s="359"/>
      <c r="Q40" s="360"/>
      <c r="T40" s="250"/>
      <c r="U40" s="250"/>
      <c r="V40" s="250"/>
      <c r="W40" s="250"/>
      <c r="X40" s="250"/>
      <c r="Y40" s="250"/>
      <c r="Z40" s="250"/>
    </row>
    <row r="41" spans="2:26" s="257" customFormat="1" ht="42.75" customHeight="1" x14ac:dyDescent="0.25">
      <c r="B41" s="358" t="s">
        <v>209</v>
      </c>
      <c r="C41" s="359"/>
      <c r="D41" s="359"/>
      <c r="E41" s="359"/>
      <c r="F41" s="359"/>
      <c r="G41" s="359"/>
      <c r="H41" s="359"/>
      <c r="I41" s="359"/>
      <c r="J41" s="359"/>
      <c r="K41" s="359"/>
      <c r="L41" s="359"/>
      <c r="M41" s="359"/>
      <c r="N41" s="359"/>
      <c r="O41" s="359"/>
      <c r="P41" s="359"/>
      <c r="Q41" s="360"/>
      <c r="T41" s="250"/>
      <c r="U41" s="250"/>
      <c r="V41" s="250"/>
      <c r="W41" s="250"/>
      <c r="X41" s="250"/>
      <c r="Y41" s="250"/>
      <c r="Z41" s="250"/>
    </row>
    <row r="42" spans="2:26" s="257" customFormat="1" ht="18" x14ac:dyDescent="0.25">
      <c r="B42" s="350" t="s">
        <v>210</v>
      </c>
      <c r="C42" s="351"/>
      <c r="D42" s="351"/>
      <c r="E42" s="351"/>
      <c r="F42" s="351"/>
      <c r="G42" s="351"/>
      <c r="H42" s="351"/>
      <c r="I42" s="351"/>
      <c r="J42" s="351"/>
      <c r="K42" s="351"/>
      <c r="L42" s="351"/>
      <c r="M42" s="351"/>
      <c r="N42" s="351"/>
      <c r="O42" s="351"/>
      <c r="P42" s="351"/>
      <c r="Q42" s="352"/>
      <c r="T42" s="250"/>
      <c r="U42" s="250"/>
      <c r="V42" s="250"/>
      <c r="W42" s="250"/>
      <c r="X42" s="250"/>
      <c r="Y42" s="250"/>
      <c r="Z42" s="250"/>
    </row>
    <row r="43" spans="2:26" s="258" customFormat="1" ht="18" x14ac:dyDescent="0.25">
      <c r="T43" s="295"/>
      <c r="U43" s="295"/>
      <c r="V43" s="295"/>
      <c r="W43" s="295"/>
      <c r="X43" s="295"/>
      <c r="Y43" s="295"/>
      <c r="Z43" s="295"/>
    </row>
    <row r="44" spans="2:26" s="258" customFormat="1" ht="18" x14ac:dyDescent="0.25">
      <c r="T44" s="295"/>
      <c r="U44" s="295"/>
      <c r="V44" s="295"/>
      <c r="W44" s="295"/>
      <c r="X44" s="295"/>
      <c r="Y44" s="295"/>
      <c r="Z44" s="295"/>
    </row>
    <row r="45" spans="2:26" s="258" customFormat="1" ht="18" x14ac:dyDescent="0.25">
      <c r="D45" s="259"/>
      <c r="T45" s="295"/>
      <c r="U45" s="295"/>
      <c r="V45" s="295"/>
      <c r="W45" s="295"/>
      <c r="X45" s="295"/>
      <c r="Y45" s="295"/>
      <c r="Z45" s="295"/>
    </row>
    <row r="46" spans="2:26" s="258" customFormat="1" ht="18" x14ac:dyDescent="0.25">
      <c r="D46" s="260"/>
      <c r="T46" s="295"/>
      <c r="U46" s="295"/>
      <c r="V46" s="295"/>
      <c r="W46" s="295"/>
      <c r="X46" s="295"/>
      <c r="Y46" s="295"/>
      <c r="Z46" s="295"/>
    </row>
    <row r="47" spans="2:26" s="258" customFormat="1" ht="18" x14ac:dyDescent="0.25">
      <c r="T47" s="295"/>
      <c r="U47" s="295"/>
      <c r="V47" s="295"/>
      <c r="W47" s="295"/>
      <c r="X47" s="295"/>
      <c r="Y47" s="295"/>
      <c r="Z47" s="295"/>
    </row>
    <row r="48" spans="2:26" s="258" customFormat="1" ht="18" x14ac:dyDescent="0.25">
      <c r="T48" s="295"/>
      <c r="U48" s="295"/>
      <c r="V48" s="295"/>
      <c r="W48" s="295"/>
      <c r="X48" s="295"/>
      <c r="Y48" s="295"/>
      <c r="Z48" s="295"/>
    </row>
  </sheetData>
  <sheetProtection selectLockedCells="1"/>
  <mergeCells count="54">
    <mergeCell ref="B1:D1"/>
    <mergeCell ref="K1:Q1"/>
    <mergeCell ref="B2:D2"/>
    <mergeCell ref="K2:Q2"/>
    <mergeCell ref="D4:O4"/>
    <mergeCell ref="B10:C10"/>
    <mergeCell ref="D10:F10"/>
    <mergeCell ref="G10:K10"/>
    <mergeCell ref="L10:Q10"/>
    <mergeCell ref="B9:Q9"/>
    <mergeCell ref="D5:O5"/>
    <mergeCell ref="L13:L15"/>
    <mergeCell ref="M13:M15"/>
    <mergeCell ref="N13:N15"/>
    <mergeCell ref="P13:P15"/>
    <mergeCell ref="O13:O15"/>
    <mergeCell ref="D6:O6"/>
    <mergeCell ref="Q13:Q15"/>
    <mergeCell ref="C16:D16"/>
    <mergeCell ref="E16:K16"/>
    <mergeCell ref="B11:C11"/>
    <mergeCell ref="D11:F11"/>
    <mergeCell ref="G11:K11"/>
    <mergeCell ref="L11:Q11"/>
    <mergeCell ref="B13:B15"/>
    <mergeCell ref="C13:D15"/>
    <mergeCell ref="E13:K15"/>
    <mergeCell ref="C17:D17"/>
    <mergeCell ref="E17:K17"/>
    <mergeCell ref="C18:D18"/>
    <mergeCell ref="E18:K18"/>
    <mergeCell ref="M33:Q33"/>
    <mergeCell ref="C23:D23"/>
    <mergeCell ref="E23:K23"/>
    <mergeCell ref="E30:K30"/>
    <mergeCell ref="C30:D30"/>
    <mergeCell ref="C19:D19"/>
    <mergeCell ref="E19:K19"/>
    <mergeCell ref="C20:D20"/>
    <mergeCell ref="E20:K20"/>
    <mergeCell ref="C21:D21"/>
    <mergeCell ref="E21:K21"/>
    <mergeCell ref="C22:D22"/>
    <mergeCell ref="B42:Q42"/>
    <mergeCell ref="E22:K22"/>
    <mergeCell ref="C36:D36"/>
    <mergeCell ref="B39:Q39"/>
    <mergeCell ref="B40:Q40"/>
    <mergeCell ref="B41:Q41"/>
    <mergeCell ref="E24:K24"/>
    <mergeCell ref="E25:K25"/>
    <mergeCell ref="B28:Q28"/>
    <mergeCell ref="C29:D29"/>
    <mergeCell ref="E29:K29"/>
  </mergeCells>
  <pageMargins left="0.70866141732283472" right="0.70866141732283472" top="0.62" bottom="0.74803149606299213" header="0.31496062992125984" footer="0.31496062992125984"/>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I50"/>
  <sheetViews>
    <sheetView showGridLines="0" zoomScale="80" zoomScaleNormal="80" workbookViewId="0"/>
  </sheetViews>
  <sheetFormatPr baseColWidth="10" defaultColWidth="11.42578125" defaultRowHeight="14.25" x14ac:dyDescent="0.25"/>
  <cols>
    <col min="1" max="1" width="11.42578125" style="211"/>
    <col min="2" max="2" width="10.7109375" style="211" customWidth="1"/>
    <col min="3" max="3" width="11.42578125" style="211"/>
    <col min="4" max="4" width="16.28515625" style="211" customWidth="1"/>
    <col min="5" max="5" width="18.42578125" style="211" customWidth="1"/>
    <col min="6" max="7" width="11.42578125" style="211"/>
    <col min="8" max="8" width="20.5703125" style="211" customWidth="1"/>
    <col min="9" max="9" width="8" style="211" customWidth="1"/>
    <col min="10" max="10" width="19.42578125" style="211" customWidth="1"/>
    <col min="11" max="11" width="8.7109375" style="211" customWidth="1"/>
    <col min="12" max="12" width="12.42578125" style="211" customWidth="1"/>
    <col min="13" max="13" width="11.42578125" style="211"/>
    <col min="14" max="14" width="11.42578125" style="211" hidden="1" customWidth="1"/>
    <col min="15" max="15" width="15.42578125" style="211" hidden="1" customWidth="1"/>
    <col min="16" max="16" width="17.7109375" style="211" hidden="1" customWidth="1"/>
    <col min="17" max="17" width="255.7109375" style="211" hidden="1" customWidth="1"/>
    <col min="18" max="18" width="2.42578125" style="211" hidden="1" customWidth="1"/>
    <col min="19" max="19" width="255.7109375" style="211" hidden="1" customWidth="1"/>
    <col min="20" max="35" width="11.42578125" style="211" hidden="1" customWidth="1"/>
    <col min="36" max="36" width="0" style="211" hidden="1" customWidth="1"/>
    <col min="37" max="16384" width="11.42578125" style="211"/>
  </cols>
  <sheetData>
    <row r="1" spans="2:19" ht="18" x14ac:dyDescent="0.25">
      <c r="C1" s="261" t="s">
        <v>211</v>
      </c>
      <c r="D1" s="258"/>
      <c r="E1" s="258"/>
      <c r="F1" s="258"/>
      <c r="G1" s="261" t="s">
        <v>212</v>
      </c>
      <c r="H1" s="258"/>
      <c r="I1" s="258"/>
      <c r="J1" s="258"/>
      <c r="K1" s="258"/>
      <c r="L1" s="261" t="s">
        <v>213</v>
      </c>
    </row>
    <row r="2" spans="2:19" x14ac:dyDescent="0.25">
      <c r="B2" s="262"/>
    </row>
    <row r="3" spans="2:19" ht="33.75" customHeight="1" x14ac:dyDescent="0.25">
      <c r="C3" s="441" t="s">
        <v>214</v>
      </c>
      <c r="D3" s="441"/>
      <c r="E3" s="441"/>
      <c r="F3" s="441"/>
      <c r="G3" s="441"/>
      <c r="H3" s="441"/>
      <c r="I3" s="441"/>
      <c r="J3" s="441"/>
      <c r="K3" s="441"/>
      <c r="L3" s="441"/>
      <c r="M3" s="263"/>
    </row>
    <row r="4" spans="2:19" ht="2.25" customHeight="1" x14ac:dyDescent="0.25">
      <c r="B4" s="262"/>
    </row>
    <row r="5" spans="2:19" ht="18" x14ac:dyDescent="0.25">
      <c r="C5" s="442" t="s">
        <v>215</v>
      </c>
      <c r="D5" s="442"/>
      <c r="E5" s="442"/>
      <c r="F5" s="442"/>
      <c r="G5" s="442"/>
      <c r="H5" s="442"/>
      <c r="I5" s="442"/>
      <c r="J5" s="442"/>
      <c r="K5" s="442"/>
      <c r="L5" s="442"/>
      <c r="M5" s="261"/>
    </row>
    <row r="6" spans="2:19" ht="18" x14ac:dyDescent="0.25">
      <c r="C6" s="442" t="s">
        <v>216</v>
      </c>
      <c r="D6" s="442"/>
      <c r="E6" s="442"/>
      <c r="F6" s="442"/>
      <c r="G6" s="442"/>
      <c r="H6" s="442"/>
      <c r="I6" s="442"/>
      <c r="J6" s="442"/>
      <c r="K6" s="442"/>
      <c r="L6" s="442"/>
      <c r="M6" s="261"/>
    </row>
    <row r="7" spans="2:19" x14ac:dyDescent="0.25">
      <c r="B7" s="264"/>
    </row>
    <row r="8" spans="2:19" ht="15" thickBot="1" x14ac:dyDescent="0.3">
      <c r="B8" s="264"/>
    </row>
    <row r="9" spans="2:19" ht="39" customHeight="1" thickBot="1" x14ac:dyDescent="0.3">
      <c r="C9" s="443" t="s">
        <v>336</v>
      </c>
      <c r="D9" s="444"/>
      <c r="E9" s="444"/>
      <c r="F9" s="444"/>
      <c r="G9" s="444"/>
      <c r="H9" s="444"/>
      <c r="I9" s="444"/>
      <c r="J9" s="444"/>
      <c r="K9" s="444"/>
      <c r="L9" s="445"/>
    </row>
    <row r="10" spans="2:19" x14ac:dyDescent="0.25">
      <c r="B10" s="264"/>
    </row>
    <row r="11" spans="2:19" ht="12.75" customHeight="1" x14ac:dyDescent="0.25">
      <c r="B11" s="264"/>
    </row>
    <row r="12" spans="2:19" ht="27.75" x14ac:dyDescent="0.25">
      <c r="C12" s="426" t="s">
        <v>217</v>
      </c>
      <c r="D12" s="426"/>
      <c r="E12" s="426"/>
      <c r="F12" s="426"/>
      <c r="G12" s="426"/>
      <c r="H12" s="426"/>
      <c r="I12" s="426"/>
      <c r="J12" s="426"/>
      <c r="K12" s="426"/>
      <c r="L12" s="426"/>
    </row>
    <row r="13" spans="2:19" ht="15" customHeight="1" x14ac:dyDescent="0.25">
      <c r="B13" s="262"/>
    </row>
    <row r="14" spans="2:19" ht="24" customHeight="1" x14ac:dyDescent="0.25">
      <c r="D14" s="265"/>
      <c r="E14" s="265"/>
      <c r="F14" s="438" t="s">
        <v>218</v>
      </c>
      <c r="G14" s="439"/>
      <c r="H14" s="440"/>
      <c r="I14" s="266"/>
      <c r="J14" s="265"/>
      <c r="K14" s="265"/>
      <c r="L14" s="265"/>
      <c r="M14" s="267"/>
    </row>
    <row r="15" spans="2:19" ht="27.75" x14ac:dyDescent="0.25">
      <c r="B15" s="268"/>
      <c r="D15" s="269"/>
      <c r="E15" s="269"/>
      <c r="F15" s="425" t="e">
        <f>IF(P17="","",P17)</f>
        <v>#N/A</v>
      </c>
      <c r="G15" s="426"/>
      <c r="H15" s="427"/>
      <c r="I15" s="302"/>
      <c r="J15" s="269"/>
      <c r="K15" s="269"/>
      <c r="L15" s="269"/>
    </row>
    <row r="16" spans="2:19" ht="12" customHeight="1" x14ac:dyDescent="0.25">
      <c r="F16" s="428"/>
      <c r="G16" s="429"/>
      <c r="H16" s="430"/>
      <c r="I16" s="302"/>
      <c r="R16" s="211" t="s">
        <v>37</v>
      </c>
      <c r="S16" s="306" t="s">
        <v>502</v>
      </c>
    </row>
    <row r="17" spans="2:30" ht="28.5" customHeight="1" x14ac:dyDescent="0.25">
      <c r="B17" s="262"/>
      <c r="O17" s="211" t="str">
        <f>IF(Tirage!H5="","",Tirage!H5)</f>
        <v>Eliminatoire 2ème tour</v>
      </c>
      <c r="P17" s="211" t="e">
        <f>IF(O17="","",VLOOKUP(O17,Tirage!Q29:R30,2,FALSE))</f>
        <v>#N/A</v>
      </c>
      <c r="Q17" s="211" t="e">
        <f>IF(P17="","",VLOOKUP(P17,Tirage!R29:S30,2,FALSE))</f>
        <v>#N/A</v>
      </c>
      <c r="R17" s="211" t="s">
        <v>38</v>
      </c>
      <c r="S17" s="211" t="s">
        <v>219</v>
      </c>
      <c r="T17" s="307"/>
      <c r="U17" s="307"/>
      <c r="V17" s="307"/>
      <c r="W17" s="307"/>
      <c r="X17" s="307"/>
      <c r="Y17" s="307"/>
      <c r="Z17" s="307"/>
      <c r="AA17" s="307"/>
      <c r="AB17" s="308"/>
    </row>
    <row r="18" spans="2:30" ht="27.75" customHeight="1" x14ac:dyDescent="0.25">
      <c r="B18" s="262"/>
      <c r="R18" s="211" t="s">
        <v>40</v>
      </c>
      <c r="S18" s="211" t="s">
        <v>220</v>
      </c>
    </row>
    <row r="19" spans="2:30" ht="23.25" customHeight="1" x14ac:dyDescent="0.25">
      <c r="C19" s="431" t="s">
        <v>221</v>
      </c>
      <c r="D19" s="432"/>
      <c r="E19" s="433" t="str">
        <f>IF(Tirage!H6="","",Tirage!H6)</f>
        <v>BANDE</v>
      </c>
      <c r="F19" s="433"/>
      <c r="G19" s="270"/>
      <c r="H19" s="271" t="s">
        <v>222</v>
      </c>
      <c r="I19" s="433" t="str">
        <f>IF(Tirage!H7="","",Tirage!H7)</f>
        <v>REGIONAL 1</v>
      </c>
      <c r="J19" s="433"/>
      <c r="K19" s="433"/>
      <c r="L19" s="272"/>
    </row>
    <row r="20" spans="2:30" ht="27.75" customHeight="1" x14ac:dyDescent="0.25">
      <c r="C20" s="434" t="s">
        <v>223</v>
      </c>
      <c r="D20" s="435"/>
      <c r="E20" s="436"/>
      <c r="F20" s="436"/>
      <c r="G20" s="258"/>
      <c r="H20" s="273" t="s">
        <v>224</v>
      </c>
      <c r="I20" s="437"/>
      <c r="J20" s="437"/>
      <c r="K20" s="437"/>
      <c r="L20" s="274"/>
    </row>
    <row r="21" spans="2:30" x14ac:dyDescent="0.25">
      <c r="B21" s="262"/>
      <c r="C21" s="275"/>
      <c r="D21" s="276"/>
      <c r="E21" s="276"/>
      <c r="F21" s="276"/>
      <c r="G21" s="276"/>
      <c r="H21" s="276"/>
      <c r="I21" s="276"/>
      <c r="J21" s="276"/>
      <c r="K21" s="276"/>
      <c r="L21" s="277"/>
    </row>
    <row r="22" spans="2:30" ht="34.5" customHeight="1" x14ac:dyDescent="0.25">
      <c r="B22" s="262"/>
    </row>
    <row r="23" spans="2:30" ht="30" customHeight="1" x14ac:dyDescent="0.25">
      <c r="C23" s="415" t="s">
        <v>225</v>
      </c>
      <c r="D23" s="416"/>
      <c r="E23" s="416"/>
      <c r="F23" s="417" t="str">
        <f>IF('Feuille de résultat'!C16="","",'Feuille de résultat'!C16)</f>
        <v>DAVID MICHEL</v>
      </c>
      <c r="G23" s="417"/>
      <c r="H23" s="417"/>
      <c r="I23" s="417"/>
      <c r="J23" s="271" t="s">
        <v>226</v>
      </c>
      <c r="K23" s="418" t="str">
        <f>IF('Feuille de résultat'!E16="","",'Feuille de résultat'!E16)</f>
        <v>112083X</v>
      </c>
      <c r="L23" s="419"/>
      <c r="R23" s="211" t="s">
        <v>202</v>
      </c>
      <c r="S23" s="361">
        <v>0</v>
      </c>
      <c r="T23" s="361"/>
      <c r="U23" s="361"/>
      <c r="V23" s="361"/>
      <c r="W23" s="361"/>
      <c r="X23" s="361"/>
      <c r="Y23" s="361"/>
      <c r="Z23" s="211" t="s">
        <v>202</v>
      </c>
      <c r="AA23" s="211" t="s">
        <v>202</v>
      </c>
      <c r="AB23" s="211" t="s">
        <v>202</v>
      </c>
      <c r="AC23" s="211">
        <v>0</v>
      </c>
      <c r="AD23" s="211">
        <v>0</v>
      </c>
    </row>
    <row r="24" spans="2:30" ht="28.5" customHeight="1" x14ac:dyDescent="0.25">
      <c r="B24" s="278"/>
      <c r="C24" s="421" t="s">
        <v>501</v>
      </c>
      <c r="D24" s="422"/>
      <c r="E24" s="423"/>
      <c r="F24" s="423"/>
      <c r="G24" s="423"/>
      <c r="H24" s="423"/>
      <c r="I24" s="423"/>
      <c r="J24" s="423"/>
      <c r="K24" s="423"/>
      <c r="L24" s="424"/>
      <c r="R24" s="211" t="s">
        <v>202</v>
      </c>
      <c r="S24" s="361">
        <v>0</v>
      </c>
      <c r="T24" s="361"/>
      <c r="U24" s="361"/>
      <c r="V24" s="361"/>
      <c r="W24" s="361"/>
      <c r="X24" s="361"/>
      <c r="Y24" s="361"/>
      <c r="Z24" s="211" t="s">
        <v>202</v>
      </c>
      <c r="AA24" s="211" t="s">
        <v>202</v>
      </c>
      <c r="AB24" s="211" t="s">
        <v>202</v>
      </c>
      <c r="AC24" s="211">
        <v>0</v>
      </c>
      <c r="AD24" s="211">
        <v>0</v>
      </c>
    </row>
    <row r="25" spans="2:30" ht="31.5" customHeight="1" x14ac:dyDescent="0.25">
      <c r="C25" s="279" t="s">
        <v>227</v>
      </c>
      <c r="D25" s="420"/>
      <c r="E25" s="420"/>
      <c r="F25" s="420"/>
      <c r="G25" s="420"/>
      <c r="H25" s="420"/>
      <c r="I25" s="408" t="s">
        <v>228</v>
      </c>
      <c r="J25" s="408"/>
      <c r="K25" s="406">
        <f>IF('Feuille de résultat'!O16="","",'Feuille de résultat'!O16)</f>
        <v>1.6216216216216217</v>
      </c>
      <c r="L25" s="407"/>
      <c r="R25" s="211" t="s">
        <v>202</v>
      </c>
      <c r="S25" s="361">
        <v>0</v>
      </c>
      <c r="T25" s="361"/>
      <c r="U25" s="361"/>
      <c r="V25" s="361"/>
      <c r="W25" s="361"/>
      <c r="X25" s="361"/>
      <c r="Y25" s="361"/>
      <c r="Z25" s="211" t="s">
        <v>202</v>
      </c>
      <c r="AA25" s="211" t="s">
        <v>202</v>
      </c>
      <c r="AB25" s="211" t="s">
        <v>202</v>
      </c>
      <c r="AC25" s="211">
        <v>0</v>
      </c>
      <c r="AD25" s="211">
        <v>0</v>
      </c>
    </row>
    <row r="26" spans="2:30" ht="15" customHeight="1" x14ac:dyDescent="0.25">
      <c r="B26" s="278"/>
      <c r="C26" s="280"/>
      <c r="D26" s="281"/>
      <c r="E26" s="281"/>
      <c r="F26" s="281"/>
      <c r="G26" s="281"/>
      <c r="H26" s="281"/>
      <c r="I26" s="281"/>
      <c r="J26" s="281"/>
      <c r="K26" s="281"/>
      <c r="L26" s="282"/>
      <c r="R26" s="211" t="s">
        <v>202</v>
      </c>
      <c r="S26" s="361">
        <v>0</v>
      </c>
      <c r="T26" s="361"/>
      <c r="U26" s="361"/>
      <c r="V26" s="361"/>
      <c r="W26" s="361"/>
      <c r="X26" s="361"/>
      <c r="Y26" s="361"/>
      <c r="Z26" s="211" t="s">
        <v>202</v>
      </c>
      <c r="AA26" s="211" t="s">
        <v>202</v>
      </c>
      <c r="AB26" s="211" t="s">
        <v>202</v>
      </c>
      <c r="AC26" s="211">
        <v>0</v>
      </c>
      <c r="AD26" s="211">
        <v>0</v>
      </c>
    </row>
    <row r="27" spans="2:30" ht="15" x14ac:dyDescent="0.25">
      <c r="C27" s="283"/>
      <c r="D27" s="283"/>
      <c r="E27" s="283"/>
      <c r="F27" s="283"/>
      <c r="G27" s="283"/>
      <c r="H27" s="283"/>
      <c r="I27" s="283"/>
      <c r="J27" s="283"/>
      <c r="K27" s="283"/>
      <c r="L27" s="283"/>
      <c r="R27" s="211" t="s">
        <v>202</v>
      </c>
      <c r="S27" s="361">
        <v>0</v>
      </c>
      <c r="T27" s="361"/>
      <c r="U27" s="361"/>
      <c r="V27" s="361"/>
      <c r="W27" s="361"/>
      <c r="X27" s="361"/>
      <c r="Y27" s="361"/>
      <c r="Z27" s="211" t="s">
        <v>202</v>
      </c>
      <c r="AA27" s="211" t="s">
        <v>202</v>
      </c>
      <c r="AB27" s="211" t="s">
        <v>202</v>
      </c>
      <c r="AC27" s="211">
        <v>0</v>
      </c>
      <c r="AD27" s="211">
        <v>0</v>
      </c>
    </row>
    <row r="28" spans="2:30" ht="30" customHeight="1" x14ac:dyDescent="0.25">
      <c r="B28" s="284"/>
      <c r="C28" s="415" t="s">
        <v>229</v>
      </c>
      <c r="D28" s="416"/>
      <c r="E28" s="416"/>
      <c r="F28" s="417" t="str">
        <f>IF('Feuille de résultat'!C17="","",'Feuille de résultat'!C17)</f>
        <v>BLANCHARD THIERRY</v>
      </c>
      <c r="G28" s="417"/>
      <c r="H28" s="417"/>
      <c r="I28" s="417"/>
      <c r="J28" s="271" t="s">
        <v>226</v>
      </c>
      <c r="K28" s="418" t="str">
        <f>IF('Feuille de résultat'!E17="","",'Feuille de résultat'!E17)</f>
        <v>102525H</v>
      </c>
      <c r="L28" s="419"/>
      <c r="R28" s="211" t="s">
        <v>202</v>
      </c>
      <c r="S28" s="361">
        <v>0</v>
      </c>
      <c r="T28" s="361"/>
      <c r="U28" s="361"/>
      <c r="V28" s="361"/>
      <c r="W28" s="361"/>
      <c r="X28" s="361"/>
      <c r="Y28" s="361"/>
      <c r="Z28" s="211" t="s">
        <v>202</v>
      </c>
      <c r="AA28" s="211" t="s">
        <v>202</v>
      </c>
      <c r="AB28" s="211" t="s">
        <v>202</v>
      </c>
      <c r="AC28" s="211">
        <v>0</v>
      </c>
      <c r="AD28" s="211">
        <v>0</v>
      </c>
    </row>
    <row r="29" spans="2:30" ht="30" customHeight="1" x14ac:dyDescent="0.25">
      <c r="B29" s="278"/>
      <c r="C29" s="421" t="s">
        <v>501</v>
      </c>
      <c r="D29" s="422"/>
      <c r="E29" s="423"/>
      <c r="F29" s="423"/>
      <c r="G29" s="423"/>
      <c r="H29" s="423"/>
      <c r="I29" s="423"/>
      <c r="J29" s="423"/>
      <c r="K29" s="423"/>
      <c r="L29" s="424"/>
      <c r="R29" s="211">
        <v>0</v>
      </c>
      <c r="S29" s="211">
        <v>0</v>
      </c>
      <c r="T29" s="211">
        <v>0</v>
      </c>
      <c r="U29" s="211">
        <v>0</v>
      </c>
      <c r="V29" s="211">
        <v>0</v>
      </c>
      <c r="W29" s="211">
        <v>0</v>
      </c>
      <c r="X29" s="211">
        <v>0</v>
      </c>
      <c r="Y29" s="211">
        <v>0</v>
      </c>
      <c r="Z29" s="211">
        <v>0</v>
      </c>
      <c r="AA29" s="211">
        <v>0</v>
      </c>
      <c r="AB29" s="211">
        <v>0</v>
      </c>
      <c r="AC29" s="211">
        <v>0</v>
      </c>
      <c r="AD29" s="211">
        <v>0</v>
      </c>
    </row>
    <row r="30" spans="2:30" ht="30" customHeight="1" x14ac:dyDescent="0.25">
      <c r="B30" s="285"/>
      <c r="C30" s="286" t="s">
        <v>230</v>
      </c>
      <c r="D30" s="420"/>
      <c r="E30" s="420"/>
      <c r="F30" s="420"/>
      <c r="G30" s="420"/>
      <c r="H30" s="420"/>
      <c r="I30" s="408" t="s">
        <v>228</v>
      </c>
      <c r="J30" s="408"/>
      <c r="K30" s="406">
        <f>IF('Feuille de résultat'!O17="","",'Feuille de résultat'!O17)</f>
        <v>1.5324675324675325</v>
      </c>
      <c r="L30" s="407"/>
    </row>
    <row r="31" spans="2:30" ht="15" x14ac:dyDescent="0.25">
      <c r="B31" s="278"/>
      <c r="C31" s="280"/>
      <c r="D31" s="281"/>
      <c r="E31" s="281"/>
      <c r="F31" s="281"/>
      <c r="G31" s="281"/>
      <c r="H31" s="281"/>
      <c r="I31" s="281"/>
      <c r="J31" s="281"/>
      <c r="K31" s="281"/>
      <c r="L31" s="282"/>
    </row>
    <row r="32" spans="2:30" ht="28.5" customHeight="1" x14ac:dyDescent="0.25">
      <c r="B32" s="287"/>
    </row>
    <row r="33" spans="2:13" x14ac:dyDescent="0.25">
      <c r="B33" s="262"/>
      <c r="C33" s="288"/>
      <c r="D33" s="289"/>
      <c r="E33" s="289"/>
      <c r="F33" s="289"/>
      <c r="G33" s="289"/>
      <c r="H33" s="290"/>
      <c r="I33" s="291"/>
      <c r="J33" s="289"/>
      <c r="K33" s="289"/>
      <c r="L33" s="272"/>
    </row>
    <row r="34" spans="2:13" ht="15.75" customHeight="1" x14ac:dyDescent="0.25">
      <c r="C34" s="292" t="s">
        <v>231</v>
      </c>
      <c r="D34" s="399"/>
      <c r="E34" s="399"/>
      <c r="F34" s="273" t="s">
        <v>232</v>
      </c>
      <c r="G34" s="397"/>
      <c r="H34" s="398"/>
      <c r="I34" s="389" t="s">
        <v>233</v>
      </c>
      <c r="J34" s="390"/>
      <c r="K34" s="390"/>
      <c r="L34" s="391"/>
    </row>
    <row r="35" spans="2:13" ht="21.75" customHeight="1" x14ac:dyDescent="0.25">
      <c r="B35" s="278"/>
      <c r="C35" s="400" t="s">
        <v>234</v>
      </c>
      <c r="D35" s="401"/>
      <c r="E35" s="401"/>
      <c r="F35" s="401"/>
      <c r="G35" s="401"/>
      <c r="H35" s="293"/>
      <c r="I35" s="389"/>
      <c r="J35" s="390"/>
      <c r="K35" s="390"/>
      <c r="L35" s="391"/>
    </row>
    <row r="36" spans="2:13" ht="30" customHeight="1" x14ac:dyDescent="0.25">
      <c r="B36" s="278"/>
      <c r="C36" s="402" t="str">
        <f>IF('Feuille de résultat'!M33="","",'Feuille de résultat'!M33)</f>
        <v>BILLY DAVID</v>
      </c>
      <c r="D36" s="403"/>
      <c r="E36" s="403"/>
      <c r="F36" s="403"/>
      <c r="G36" s="403"/>
      <c r="H36" s="293"/>
      <c r="I36" s="294"/>
      <c r="J36" s="390"/>
      <c r="K36" s="390"/>
      <c r="L36" s="391"/>
    </row>
    <row r="37" spans="2:13" ht="26.25" customHeight="1" x14ac:dyDescent="0.25">
      <c r="C37" s="404"/>
      <c r="D37" s="405"/>
      <c r="E37" s="405"/>
      <c r="F37" s="405"/>
      <c r="G37" s="258"/>
      <c r="H37" s="293"/>
      <c r="I37" s="294"/>
      <c r="J37" s="390"/>
      <c r="K37" s="390"/>
      <c r="L37" s="391"/>
    </row>
    <row r="38" spans="2:13" ht="18" customHeight="1" x14ac:dyDescent="0.25">
      <c r="B38" s="278"/>
      <c r="C38" s="296"/>
      <c r="D38" s="257" t="s">
        <v>235</v>
      </c>
      <c r="E38" s="258"/>
      <c r="F38" s="258"/>
      <c r="G38" s="258"/>
      <c r="H38" s="293"/>
      <c r="I38" s="389" t="s">
        <v>236</v>
      </c>
      <c r="J38" s="390"/>
      <c r="K38" s="390"/>
      <c r="L38" s="391"/>
    </row>
    <row r="39" spans="2:13" ht="54" customHeight="1" x14ac:dyDescent="0.25">
      <c r="B39" s="278"/>
      <c r="C39" s="297"/>
      <c r="H39" s="293"/>
      <c r="I39" s="294"/>
      <c r="L39" s="274"/>
    </row>
    <row r="40" spans="2:13" x14ac:dyDescent="0.25">
      <c r="C40" s="298"/>
      <c r="D40" s="276"/>
      <c r="E40" s="276"/>
      <c r="F40" s="276"/>
      <c r="G40" s="276"/>
      <c r="H40" s="299"/>
      <c r="I40" s="300"/>
      <c r="J40" s="276"/>
      <c r="K40" s="276"/>
      <c r="L40" s="277"/>
    </row>
    <row r="41" spans="2:13" x14ac:dyDescent="0.25">
      <c r="B41" s="278"/>
      <c r="C41" s="301"/>
    </row>
    <row r="42" spans="2:13" ht="27.75" customHeight="1" x14ac:dyDescent="0.25">
      <c r="B42" s="278"/>
      <c r="C42" s="301"/>
    </row>
    <row r="43" spans="2:13" ht="21" customHeight="1" x14ac:dyDescent="0.25">
      <c r="B43" s="264"/>
      <c r="C43" s="392" t="s">
        <v>503</v>
      </c>
      <c r="D43" s="393"/>
      <c r="E43" s="309"/>
      <c r="F43" s="309"/>
      <c r="G43" s="309"/>
      <c r="H43" s="309"/>
      <c r="I43" s="309"/>
      <c r="J43" s="309"/>
      <c r="K43" s="309"/>
      <c r="L43" s="310"/>
    </row>
    <row r="44" spans="2:13" ht="72" customHeight="1" x14ac:dyDescent="0.25">
      <c r="C44" s="394" t="e">
        <f>IF(Q17="","",Q17)</f>
        <v>#N/A</v>
      </c>
      <c r="D44" s="395"/>
      <c r="E44" s="395"/>
      <c r="F44" s="395"/>
      <c r="G44" s="395"/>
      <c r="H44" s="395"/>
      <c r="I44" s="395"/>
      <c r="J44" s="395"/>
      <c r="K44" s="395"/>
      <c r="L44" s="396"/>
      <c r="M44" s="278"/>
    </row>
    <row r="45" spans="2:13" s="301" customFormat="1" ht="24.95" customHeight="1" x14ac:dyDescent="0.25">
      <c r="C45" s="394" t="s">
        <v>505</v>
      </c>
      <c r="D45" s="395"/>
      <c r="E45" s="395"/>
      <c r="F45" s="395"/>
      <c r="G45" s="395"/>
      <c r="H45" s="395"/>
      <c r="I45" s="395"/>
      <c r="J45" s="395"/>
      <c r="K45" s="395"/>
      <c r="L45" s="396"/>
      <c r="M45" s="278"/>
    </row>
    <row r="46" spans="2:13" ht="24.95" customHeight="1" x14ac:dyDescent="0.25">
      <c r="B46" s="264"/>
      <c r="C46" s="394"/>
      <c r="D46" s="395"/>
      <c r="E46" s="395"/>
      <c r="F46" s="395"/>
      <c r="G46" s="395"/>
      <c r="H46" s="395"/>
      <c r="I46" s="395"/>
      <c r="J46" s="395"/>
      <c r="K46" s="395"/>
      <c r="L46" s="396"/>
    </row>
    <row r="47" spans="2:13" ht="24.95" customHeight="1" x14ac:dyDescent="0.25">
      <c r="B47" s="264"/>
      <c r="C47" s="394"/>
      <c r="D47" s="395"/>
      <c r="E47" s="395"/>
      <c r="F47" s="395"/>
      <c r="G47" s="395"/>
      <c r="H47" s="395"/>
      <c r="I47" s="395"/>
      <c r="J47" s="395"/>
      <c r="K47" s="395"/>
      <c r="L47" s="396"/>
    </row>
    <row r="48" spans="2:13" ht="20.25" customHeight="1" x14ac:dyDescent="0.25">
      <c r="C48" s="409" t="s">
        <v>504</v>
      </c>
      <c r="D48" s="410"/>
      <c r="E48" s="410"/>
      <c r="F48" s="410"/>
      <c r="G48" s="410"/>
      <c r="H48" s="410"/>
      <c r="I48" s="410"/>
      <c r="J48" s="410"/>
      <c r="K48" s="410"/>
      <c r="L48" s="411"/>
    </row>
    <row r="49" spans="3:12" ht="6" customHeight="1" x14ac:dyDescent="0.25">
      <c r="C49" s="409"/>
      <c r="D49" s="410"/>
      <c r="E49" s="410"/>
      <c r="F49" s="410"/>
      <c r="G49" s="410"/>
      <c r="H49" s="410"/>
      <c r="I49" s="410"/>
      <c r="J49" s="410"/>
      <c r="K49" s="410"/>
      <c r="L49" s="411"/>
    </row>
    <row r="50" spans="3:12" x14ac:dyDescent="0.25">
      <c r="C50" s="412"/>
      <c r="D50" s="413"/>
      <c r="E50" s="413"/>
      <c r="F50" s="413"/>
      <c r="G50" s="413"/>
      <c r="H50" s="413"/>
      <c r="I50" s="413"/>
      <c r="J50" s="413"/>
      <c r="K50" s="413"/>
      <c r="L50" s="414"/>
    </row>
  </sheetData>
  <sheetProtection selectLockedCells="1"/>
  <mergeCells count="47">
    <mergeCell ref="F14:H14"/>
    <mergeCell ref="C3:L3"/>
    <mergeCell ref="C5:L5"/>
    <mergeCell ref="C6:L6"/>
    <mergeCell ref="C9:L9"/>
    <mergeCell ref="C12:L12"/>
    <mergeCell ref="S23:Y23"/>
    <mergeCell ref="C24:D24"/>
    <mergeCell ref="E24:L24"/>
    <mergeCell ref="S24:Y24"/>
    <mergeCell ref="F15:H16"/>
    <mergeCell ref="C19:D19"/>
    <mergeCell ref="E19:F19"/>
    <mergeCell ref="I19:K19"/>
    <mergeCell ref="C20:D20"/>
    <mergeCell ref="E20:F20"/>
    <mergeCell ref="I20:K20"/>
    <mergeCell ref="C23:E23"/>
    <mergeCell ref="F23:I23"/>
    <mergeCell ref="K23:L23"/>
    <mergeCell ref="K25:L25"/>
    <mergeCell ref="I30:J30"/>
    <mergeCell ref="K30:L30"/>
    <mergeCell ref="C48:L50"/>
    <mergeCell ref="S25:Y25"/>
    <mergeCell ref="S26:Y26"/>
    <mergeCell ref="C28:E28"/>
    <mergeCell ref="F28:I28"/>
    <mergeCell ref="K28:L28"/>
    <mergeCell ref="S28:Y28"/>
    <mergeCell ref="S27:Y27"/>
    <mergeCell ref="D25:H25"/>
    <mergeCell ref="I25:J25"/>
    <mergeCell ref="C29:D29"/>
    <mergeCell ref="E29:L29"/>
    <mergeCell ref="D30:H30"/>
    <mergeCell ref="I38:L38"/>
    <mergeCell ref="C43:D43"/>
    <mergeCell ref="C44:L44"/>
    <mergeCell ref="G34:H34"/>
    <mergeCell ref="C45:L47"/>
    <mergeCell ref="D34:E34"/>
    <mergeCell ref="I34:L35"/>
    <mergeCell ref="C35:G35"/>
    <mergeCell ref="C36:G36"/>
    <mergeCell ref="J36:L37"/>
    <mergeCell ref="C37:F37"/>
  </mergeCells>
  <printOptions horizontalCentered="1"/>
  <pageMargins left="0.59055118110236227" right="0.43307086614173229"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948"/>
  <sheetViews>
    <sheetView showGridLines="0" zoomScale="65" zoomScaleNormal="65" workbookViewId="0">
      <pane ySplit="4" topLeftCell="A5" activePane="bottomLeft" state="frozen"/>
      <selection pane="bottomLeft" sqref="A1:T1"/>
    </sheetView>
  </sheetViews>
  <sheetFormatPr baseColWidth="10" defaultRowHeight="14.25" x14ac:dyDescent="0.25"/>
  <cols>
    <col min="1" max="1" width="10.7109375" style="15" customWidth="1"/>
    <col min="2" max="2" width="30.7109375" style="21" customWidth="1"/>
    <col min="3" max="3" width="26.7109375" style="15" customWidth="1"/>
    <col min="4" max="4" width="8.140625" style="15" bestFit="1" customWidth="1"/>
    <col min="5" max="5" width="12.7109375" style="15" customWidth="1"/>
    <col min="6" max="6" width="10.7109375" style="22" customWidth="1"/>
    <col min="7" max="7" width="13.7109375" style="22" customWidth="1"/>
    <col min="8" max="8" width="10.7109375" style="22" customWidth="1"/>
    <col min="9" max="9" width="12.7109375" style="15" customWidth="1"/>
    <col min="10" max="10" width="10.7109375" style="22" customWidth="1"/>
    <col min="11" max="11" width="13.7109375" style="22" customWidth="1"/>
    <col min="12" max="12" width="10.7109375" style="22" customWidth="1"/>
    <col min="13" max="13" width="12.7109375" style="23" customWidth="1"/>
    <col min="14" max="14" width="10.7109375" style="22" customWidth="1"/>
    <col min="15" max="15" width="13.7109375" style="22" customWidth="1"/>
    <col min="16" max="16" width="10.7109375" style="22" customWidth="1"/>
    <col min="17" max="17" width="12.7109375" style="23" customWidth="1"/>
    <col min="18" max="18" width="10.7109375" style="22" customWidth="1"/>
    <col min="19" max="19" width="13.7109375" style="22" customWidth="1"/>
    <col min="20" max="20" width="10.7109375" style="22" customWidth="1"/>
    <col min="21" max="16384" width="11.42578125" style="15"/>
  </cols>
  <sheetData>
    <row r="1" spans="1:20" ht="39.950000000000003" customHeight="1" x14ac:dyDescent="0.25">
      <c r="A1" s="446" t="s">
        <v>939</v>
      </c>
      <c r="B1" s="446"/>
      <c r="C1" s="446"/>
      <c r="D1" s="446"/>
      <c r="E1" s="446"/>
      <c r="F1" s="446"/>
      <c r="G1" s="446"/>
      <c r="H1" s="446"/>
      <c r="I1" s="446"/>
      <c r="J1" s="446"/>
      <c r="K1" s="446"/>
      <c r="L1" s="446"/>
      <c r="M1" s="446"/>
      <c r="N1" s="446"/>
      <c r="O1" s="446"/>
      <c r="P1" s="446"/>
      <c r="Q1" s="446"/>
      <c r="R1" s="446"/>
      <c r="S1" s="446"/>
      <c r="T1" s="446"/>
    </row>
    <row r="2" spans="1:20" ht="39.950000000000003" customHeight="1" x14ac:dyDescent="0.25">
      <c r="A2" s="447" t="s">
        <v>403</v>
      </c>
      <c r="B2" s="447" t="s">
        <v>182</v>
      </c>
      <c r="C2" s="447" t="s">
        <v>404</v>
      </c>
      <c r="D2" s="447" t="s">
        <v>405</v>
      </c>
      <c r="E2" s="447" t="s">
        <v>20</v>
      </c>
      <c r="F2" s="447"/>
      <c r="G2" s="447"/>
      <c r="H2" s="447"/>
      <c r="I2" s="447" t="s">
        <v>23</v>
      </c>
      <c r="J2" s="447"/>
      <c r="K2" s="447"/>
      <c r="L2" s="447"/>
      <c r="M2" s="447" t="s">
        <v>406</v>
      </c>
      <c r="N2" s="447"/>
      <c r="O2" s="447"/>
      <c r="P2" s="447"/>
      <c r="Q2" s="447" t="s">
        <v>30</v>
      </c>
      <c r="R2" s="447"/>
      <c r="S2" s="447"/>
      <c r="T2" s="447"/>
    </row>
    <row r="3" spans="1:20" ht="39.950000000000003" customHeight="1" x14ac:dyDescent="0.25">
      <c r="A3" s="447"/>
      <c r="B3" s="447"/>
      <c r="C3" s="447"/>
      <c r="D3" s="447"/>
      <c r="E3" s="447" t="s">
        <v>6</v>
      </c>
      <c r="F3" s="447" t="s">
        <v>438</v>
      </c>
      <c r="G3" s="447"/>
      <c r="H3" s="447"/>
      <c r="I3" s="447" t="s">
        <v>6</v>
      </c>
      <c r="J3" s="447" t="s">
        <v>438</v>
      </c>
      <c r="K3" s="447"/>
      <c r="L3" s="447"/>
      <c r="M3" s="447" t="s">
        <v>6</v>
      </c>
      <c r="N3" s="447" t="s">
        <v>438</v>
      </c>
      <c r="O3" s="447"/>
      <c r="P3" s="447"/>
      <c r="Q3" s="447" t="s">
        <v>6</v>
      </c>
      <c r="R3" s="447" t="s">
        <v>438</v>
      </c>
      <c r="S3" s="447"/>
      <c r="T3" s="447"/>
    </row>
    <row r="4" spans="1:20" ht="39.950000000000003" customHeight="1" x14ac:dyDescent="0.25">
      <c r="A4" s="447"/>
      <c r="B4" s="447"/>
      <c r="C4" s="447"/>
      <c r="D4" s="447"/>
      <c r="E4" s="447"/>
      <c r="F4" s="16" t="s">
        <v>558</v>
      </c>
      <c r="G4" s="16" t="s">
        <v>559</v>
      </c>
      <c r="H4" s="16" t="s">
        <v>560</v>
      </c>
      <c r="I4" s="447"/>
      <c r="J4" s="16" t="s">
        <v>558</v>
      </c>
      <c r="K4" s="16" t="s">
        <v>559</v>
      </c>
      <c r="L4" s="16" t="s">
        <v>560</v>
      </c>
      <c r="M4" s="447"/>
      <c r="N4" s="16" t="s">
        <v>558</v>
      </c>
      <c r="O4" s="16" t="s">
        <v>559</v>
      </c>
      <c r="P4" s="16" t="s">
        <v>560</v>
      </c>
      <c r="Q4" s="447"/>
      <c r="R4" s="16" t="s">
        <v>558</v>
      </c>
      <c r="S4" s="16" t="s">
        <v>559</v>
      </c>
      <c r="T4" s="16" t="s">
        <v>560</v>
      </c>
    </row>
    <row r="5" spans="1:20" ht="39.950000000000003" customHeight="1" x14ac:dyDescent="0.25">
      <c r="A5" s="313" t="s">
        <v>302</v>
      </c>
      <c r="B5" s="18" t="s">
        <v>561</v>
      </c>
      <c r="C5" s="313" t="s">
        <v>371</v>
      </c>
      <c r="D5" s="313">
        <v>17026</v>
      </c>
      <c r="E5" s="313" t="s">
        <v>920</v>
      </c>
      <c r="F5" s="16">
        <v>2.52</v>
      </c>
      <c r="G5" s="16">
        <v>3.15</v>
      </c>
      <c r="H5" s="16">
        <v>3.15</v>
      </c>
      <c r="I5" s="313" t="s">
        <v>921</v>
      </c>
      <c r="J5" s="16">
        <v>2.2799999999999998</v>
      </c>
      <c r="K5" s="16">
        <v>2.8500009999999998</v>
      </c>
      <c r="L5" s="16">
        <v>2.8500009999999998</v>
      </c>
      <c r="M5" s="313" t="s">
        <v>922</v>
      </c>
      <c r="N5" s="16">
        <v>1.1599999999999999</v>
      </c>
      <c r="O5" s="16">
        <v>1.31</v>
      </c>
      <c r="P5" s="16">
        <v>1.31</v>
      </c>
      <c r="Q5" s="313" t="s">
        <v>922</v>
      </c>
      <c r="R5" s="16">
        <v>0.38600000000000001</v>
      </c>
      <c r="S5" s="16">
        <v>0.44900000000000001</v>
      </c>
      <c r="T5" s="16">
        <v>0.44900000000000001</v>
      </c>
    </row>
    <row r="6" spans="1:20" ht="39.950000000000003" customHeight="1" x14ac:dyDescent="0.25">
      <c r="A6" s="313" t="s">
        <v>311</v>
      </c>
      <c r="B6" s="18" t="s">
        <v>562</v>
      </c>
      <c r="C6" s="313" t="s">
        <v>371</v>
      </c>
      <c r="D6" s="313">
        <v>17026</v>
      </c>
      <c r="E6" s="313" t="s">
        <v>923</v>
      </c>
      <c r="F6" s="16">
        <v>1.34</v>
      </c>
      <c r="G6" s="16">
        <v>1.67</v>
      </c>
      <c r="H6" s="16">
        <v>1.67</v>
      </c>
      <c r="I6" s="313" t="s">
        <v>924</v>
      </c>
      <c r="J6" s="16">
        <v>0</v>
      </c>
      <c r="K6" s="16">
        <v>4.1E-5</v>
      </c>
      <c r="L6" s="16">
        <v>4.1E-5</v>
      </c>
      <c r="M6" s="313" t="s">
        <v>920</v>
      </c>
      <c r="N6" s="16">
        <v>0.7</v>
      </c>
      <c r="O6" s="16">
        <v>0.79</v>
      </c>
      <c r="P6" s="16">
        <v>0.79</v>
      </c>
      <c r="Q6" s="313" t="s">
        <v>921</v>
      </c>
      <c r="R6" s="16">
        <v>0.23699999999999999</v>
      </c>
      <c r="S6" s="16">
        <v>0.276001</v>
      </c>
      <c r="T6" s="16">
        <v>0.276001</v>
      </c>
    </row>
    <row r="7" spans="1:20" ht="39.950000000000003" customHeight="1" x14ac:dyDescent="0.25">
      <c r="A7" s="313" t="s">
        <v>563</v>
      </c>
      <c r="B7" s="18" t="s">
        <v>564</v>
      </c>
      <c r="C7" s="313" t="s">
        <v>371</v>
      </c>
      <c r="D7" s="313">
        <v>17026</v>
      </c>
      <c r="E7" s="313" t="s">
        <v>924</v>
      </c>
      <c r="F7" s="16">
        <v>0</v>
      </c>
      <c r="G7" s="16">
        <v>2.8E-5</v>
      </c>
      <c r="H7" s="16">
        <v>2.8E-5</v>
      </c>
      <c r="I7" s="313" t="s">
        <v>924</v>
      </c>
      <c r="J7" s="16">
        <v>0</v>
      </c>
      <c r="K7" s="16">
        <v>4.5000000000000003E-5</v>
      </c>
      <c r="L7" s="16">
        <v>4.5000000000000003E-5</v>
      </c>
      <c r="M7" s="313" t="s">
        <v>924</v>
      </c>
      <c r="N7" s="16">
        <v>0</v>
      </c>
      <c r="O7" s="16">
        <v>3.4999999999999997E-5</v>
      </c>
      <c r="P7" s="16">
        <v>3.4999999999999997E-5</v>
      </c>
      <c r="Q7" s="313" t="s">
        <v>924</v>
      </c>
      <c r="R7" s="16">
        <v>0</v>
      </c>
      <c r="S7" s="16">
        <v>3.0000000000000001E-5</v>
      </c>
      <c r="T7" s="16">
        <v>3.0000000000000001E-5</v>
      </c>
    </row>
    <row r="8" spans="1:20" ht="39.950000000000003" customHeight="1" x14ac:dyDescent="0.25">
      <c r="A8" s="313" t="s">
        <v>456</v>
      </c>
      <c r="B8" s="18" t="s">
        <v>565</v>
      </c>
      <c r="C8" s="313" t="s">
        <v>371</v>
      </c>
      <c r="D8" s="313">
        <v>17026</v>
      </c>
      <c r="E8" s="313" t="s">
        <v>352</v>
      </c>
      <c r="F8" s="16">
        <v>35</v>
      </c>
      <c r="G8" s="16">
        <v>43.75</v>
      </c>
      <c r="H8" s="16">
        <v>35</v>
      </c>
      <c r="I8" s="313" t="s">
        <v>352</v>
      </c>
      <c r="J8" s="16">
        <v>15.87</v>
      </c>
      <c r="K8" s="16">
        <v>19.84</v>
      </c>
      <c r="L8" s="16">
        <v>15.87</v>
      </c>
      <c r="M8" s="313" t="s">
        <v>925</v>
      </c>
      <c r="N8" s="16">
        <v>4.7300000000000004</v>
      </c>
      <c r="O8" s="16">
        <v>5.32</v>
      </c>
      <c r="P8" s="16">
        <v>4.7300000000000004</v>
      </c>
      <c r="Q8" s="313" t="s">
        <v>925</v>
      </c>
      <c r="R8" s="16">
        <v>0.628</v>
      </c>
      <c r="S8" s="16">
        <v>0.73</v>
      </c>
      <c r="T8" s="16">
        <v>0.628</v>
      </c>
    </row>
    <row r="9" spans="1:20" ht="39.950000000000003" customHeight="1" x14ac:dyDescent="0.25">
      <c r="A9" s="17" t="s">
        <v>408</v>
      </c>
      <c r="B9" s="18" t="s">
        <v>566</v>
      </c>
      <c r="C9" s="313" t="s">
        <v>371</v>
      </c>
      <c r="D9" s="313">
        <v>17026</v>
      </c>
      <c r="E9" s="313" t="s">
        <v>926</v>
      </c>
      <c r="F9" s="16">
        <v>0.42</v>
      </c>
      <c r="G9" s="16">
        <v>0.52000100000000005</v>
      </c>
      <c r="H9" s="16">
        <v>0.52000100000000005</v>
      </c>
      <c r="I9" s="313" t="s">
        <v>924</v>
      </c>
      <c r="J9" s="16">
        <v>0</v>
      </c>
      <c r="K9" s="16">
        <v>5.5999999999999999E-5</v>
      </c>
      <c r="L9" s="16">
        <v>5.5999999999999999E-5</v>
      </c>
      <c r="M9" s="313" t="s">
        <v>924</v>
      </c>
      <c r="N9" s="16">
        <v>0</v>
      </c>
      <c r="O9" s="16">
        <v>4.3999999999999999E-5</v>
      </c>
      <c r="P9" s="16">
        <v>4.3999999999999999E-5</v>
      </c>
      <c r="Q9" s="313" t="s">
        <v>924</v>
      </c>
      <c r="R9" s="16">
        <v>0</v>
      </c>
      <c r="S9" s="16">
        <v>3.8999999999999999E-5</v>
      </c>
      <c r="T9" s="16">
        <v>3.8999999999999999E-5</v>
      </c>
    </row>
    <row r="10" spans="1:20" ht="39.950000000000003" customHeight="1" x14ac:dyDescent="0.25">
      <c r="A10" s="313" t="s">
        <v>270</v>
      </c>
      <c r="B10" s="18" t="s">
        <v>567</v>
      </c>
      <c r="C10" s="313" t="s">
        <v>371</v>
      </c>
      <c r="D10" s="313">
        <v>17026</v>
      </c>
      <c r="E10" s="313" t="s">
        <v>921</v>
      </c>
      <c r="F10" s="16">
        <v>2.88</v>
      </c>
      <c r="G10" s="16">
        <v>3.6</v>
      </c>
      <c r="H10" s="16">
        <v>3.6</v>
      </c>
      <c r="I10" s="313" t="s">
        <v>922</v>
      </c>
      <c r="J10" s="16">
        <v>2.35</v>
      </c>
      <c r="K10" s="16">
        <v>2.94</v>
      </c>
      <c r="L10" s="16">
        <v>2.94</v>
      </c>
      <c r="M10" s="313" t="s">
        <v>921</v>
      </c>
      <c r="N10" s="16">
        <v>1.38</v>
      </c>
      <c r="O10" s="16">
        <v>1.55</v>
      </c>
      <c r="P10" s="16">
        <v>1.55</v>
      </c>
      <c r="Q10" s="313" t="s">
        <v>922</v>
      </c>
      <c r="R10" s="16">
        <v>0.33900000000000002</v>
      </c>
      <c r="S10" s="16">
        <v>0.39400000000000002</v>
      </c>
      <c r="T10" s="16">
        <v>0.39400000000000002</v>
      </c>
    </row>
    <row r="11" spans="1:20" ht="39.950000000000003" customHeight="1" x14ac:dyDescent="0.25">
      <c r="A11" s="17" t="s">
        <v>506</v>
      </c>
      <c r="B11" s="18" t="s">
        <v>568</v>
      </c>
      <c r="C11" s="313" t="s">
        <v>371</v>
      </c>
      <c r="D11" s="313">
        <v>17026</v>
      </c>
      <c r="E11" s="313" t="s">
        <v>924</v>
      </c>
      <c r="F11" s="16">
        <v>0</v>
      </c>
      <c r="G11" s="16">
        <v>4.1999999999999998E-5</v>
      </c>
      <c r="H11" s="16">
        <v>4.1999999999999998E-5</v>
      </c>
      <c r="I11" s="313" t="s">
        <v>924</v>
      </c>
      <c r="J11" s="16">
        <v>0</v>
      </c>
      <c r="K11" s="16">
        <v>7.1000000000000005E-5</v>
      </c>
      <c r="L11" s="16">
        <v>7.1000000000000005E-5</v>
      </c>
      <c r="M11" s="313" t="s">
        <v>924</v>
      </c>
      <c r="N11" s="16">
        <v>0</v>
      </c>
      <c r="O11" s="16">
        <v>5.1999999999999997E-5</v>
      </c>
      <c r="P11" s="16">
        <v>5.1999999999999997E-5</v>
      </c>
      <c r="Q11" s="313" t="s">
        <v>924</v>
      </c>
      <c r="R11" s="16">
        <v>0</v>
      </c>
      <c r="S11" s="16">
        <v>5.0000000000000002E-5</v>
      </c>
      <c r="T11" s="16">
        <v>5.0000000000000002E-5</v>
      </c>
    </row>
    <row r="12" spans="1:20" ht="39.950000000000003" customHeight="1" x14ac:dyDescent="0.25">
      <c r="A12" s="313" t="s">
        <v>488</v>
      </c>
      <c r="B12" s="18" t="s">
        <v>569</v>
      </c>
      <c r="C12" s="313" t="s">
        <v>371</v>
      </c>
      <c r="D12" s="313">
        <v>17026</v>
      </c>
      <c r="E12" s="313" t="s">
        <v>926</v>
      </c>
      <c r="F12" s="16">
        <v>0.79</v>
      </c>
      <c r="G12" s="16">
        <v>0.98</v>
      </c>
      <c r="H12" s="16">
        <v>0.98</v>
      </c>
      <c r="I12" s="313" t="s">
        <v>924</v>
      </c>
      <c r="J12" s="16">
        <v>0</v>
      </c>
      <c r="K12" s="16">
        <v>7.2000000000000002E-5</v>
      </c>
      <c r="L12" s="16">
        <v>7.2000000000000002E-5</v>
      </c>
      <c r="M12" s="313" t="s">
        <v>920</v>
      </c>
      <c r="N12" s="16">
        <v>0.43</v>
      </c>
      <c r="O12" s="16">
        <v>0.48000100000000001</v>
      </c>
      <c r="P12" s="16">
        <v>0.48000100000000001</v>
      </c>
      <c r="Q12" s="313" t="s">
        <v>921</v>
      </c>
      <c r="R12" s="16">
        <v>0.216</v>
      </c>
      <c r="S12" s="16">
        <v>0.252</v>
      </c>
      <c r="T12" s="16">
        <v>0.252</v>
      </c>
    </row>
    <row r="13" spans="1:20" ht="39.950000000000003" customHeight="1" x14ac:dyDescent="0.25">
      <c r="A13" s="17" t="s">
        <v>322</v>
      </c>
      <c r="B13" s="18" t="s">
        <v>570</v>
      </c>
      <c r="C13" s="313" t="s">
        <v>371</v>
      </c>
      <c r="D13" s="313">
        <v>17026</v>
      </c>
      <c r="E13" s="313" t="s">
        <v>926</v>
      </c>
      <c r="F13" s="16">
        <v>0.78</v>
      </c>
      <c r="G13" s="16">
        <v>0.97000299999999995</v>
      </c>
      <c r="H13" s="16">
        <v>0.97000299999999995</v>
      </c>
      <c r="I13" s="313" t="s">
        <v>924</v>
      </c>
      <c r="J13" s="16">
        <v>0</v>
      </c>
      <c r="K13" s="16">
        <v>8.5000000000000006E-5</v>
      </c>
      <c r="L13" s="16">
        <v>8.5000000000000006E-5</v>
      </c>
      <c r="M13" s="313" t="s">
        <v>920</v>
      </c>
      <c r="N13" s="16">
        <v>0.44</v>
      </c>
      <c r="O13" s="16">
        <v>0.49000100000000002</v>
      </c>
      <c r="P13" s="16">
        <v>0.49000100000000002</v>
      </c>
      <c r="Q13" s="313" t="s">
        <v>924</v>
      </c>
      <c r="R13" s="16">
        <v>0</v>
      </c>
      <c r="S13" s="16">
        <v>6.0999999999999999E-5</v>
      </c>
      <c r="T13" s="16">
        <v>6.0999999999999999E-5</v>
      </c>
    </row>
    <row r="14" spans="1:20" ht="39.950000000000003" customHeight="1" x14ac:dyDescent="0.25">
      <c r="A14" s="313" t="s">
        <v>315</v>
      </c>
      <c r="B14" s="18" t="s">
        <v>571</v>
      </c>
      <c r="C14" s="313" t="s">
        <v>371</v>
      </c>
      <c r="D14" s="313">
        <v>17026</v>
      </c>
      <c r="E14" s="313" t="s">
        <v>923</v>
      </c>
      <c r="F14" s="16">
        <v>1.1100000000000001</v>
      </c>
      <c r="G14" s="16">
        <v>1.390001</v>
      </c>
      <c r="H14" s="16">
        <v>1.390001</v>
      </c>
      <c r="I14" s="313" t="s">
        <v>924</v>
      </c>
      <c r="J14" s="16">
        <v>0</v>
      </c>
      <c r="K14" s="16">
        <v>9.1000000000000003E-5</v>
      </c>
      <c r="L14" s="16">
        <v>9.1000000000000003E-5</v>
      </c>
      <c r="M14" s="313" t="s">
        <v>920</v>
      </c>
      <c r="N14" s="16">
        <v>0.82</v>
      </c>
      <c r="O14" s="16">
        <v>0.92000199999999999</v>
      </c>
      <c r="P14" s="16">
        <v>0.92000199999999999</v>
      </c>
      <c r="Q14" s="313" t="s">
        <v>921</v>
      </c>
      <c r="R14" s="16">
        <v>0.23</v>
      </c>
      <c r="S14" s="16">
        <v>0.26800099999999999</v>
      </c>
      <c r="T14" s="16">
        <v>0.26800099999999999</v>
      </c>
    </row>
    <row r="15" spans="1:20" ht="39.950000000000003" customHeight="1" x14ac:dyDescent="0.25">
      <c r="A15" s="313" t="s">
        <v>413</v>
      </c>
      <c r="B15" s="18" t="s">
        <v>572</v>
      </c>
      <c r="C15" s="313" t="s">
        <v>371</v>
      </c>
      <c r="D15" s="313">
        <v>17026</v>
      </c>
      <c r="E15" s="313" t="s">
        <v>920</v>
      </c>
      <c r="F15" s="16">
        <v>2.08</v>
      </c>
      <c r="G15" s="16">
        <v>2.6</v>
      </c>
      <c r="H15" s="16">
        <v>2.6</v>
      </c>
      <c r="I15" s="313" t="s">
        <v>921</v>
      </c>
      <c r="J15" s="16">
        <v>1.54</v>
      </c>
      <c r="K15" s="16">
        <v>1.92</v>
      </c>
      <c r="L15" s="16">
        <v>1.92</v>
      </c>
      <c r="M15" s="313" t="s">
        <v>921</v>
      </c>
      <c r="N15" s="16">
        <v>1.1000000000000001</v>
      </c>
      <c r="O15" s="16">
        <v>1.24</v>
      </c>
      <c r="P15" s="16">
        <v>1.24</v>
      </c>
      <c r="Q15" s="313" t="s">
        <v>924</v>
      </c>
      <c r="R15" s="16">
        <v>0</v>
      </c>
      <c r="S15" s="16">
        <v>6.8999999999999997E-5</v>
      </c>
      <c r="T15" s="16">
        <v>6.8999999999999997E-5</v>
      </c>
    </row>
    <row r="16" spans="1:20" ht="39.950000000000003" customHeight="1" x14ac:dyDescent="0.25">
      <c r="A16" s="17" t="s">
        <v>468</v>
      </c>
      <c r="B16" s="18" t="s">
        <v>573</v>
      </c>
      <c r="C16" s="313" t="s">
        <v>371</v>
      </c>
      <c r="D16" s="313">
        <v>17026</v>
      </c>
      <c r="E16" s="313" t="s">
        <v>921</v>
      </c>
      <c r="F16" s="16">
        <v>4.3099999999999996</v>
      </c>
      <c r="G16" s="16">
        <v>5.38</v>
      </c>
      <c r="H16" s="16">
        <v>5.38</v>
      </c>
      <c r="I16" s="313" t="s">
        <v>921</v>
      </c>
      <c r="J16" s="16">
        <v>1.76</v>
      </c>
      <c r="K16" s="16">
        <v>2.2000000000000002</v>
      </c>
      <c r="L16" s="16">
        <v>2.2000000000000002</v>
      </c>
      <c r="M16" s="313" t="s">
        <v>922</v>
      </c>
      <c r="N16" s="16">
        <v>1.58</v>
      </c>
      <c r="O16" s="16">
        <v>1.77</v>
      </c>
      <c r="P16" s="16">
        <v>1.77</v>
      </c>
      <c r="Q16" s="313" t="s">
        <v>921</v>
      </c>
      <c r="R16" s="16">
        <v>0.29499999999999998</v>
      </c>
      <c r="S16" s="16">
        <v>0.34300000000000003</v>
      </c>
      <c r="T16" s="16">
        <v>0.34300000000000003</v>
      </c>
    </row>
    <row r="17" spans="1:20" ht="39.950000000000003" customHeight="1" x14ac:dyDescent="0.25">
      <c r="A17" s="17" t="s">
        <v>373</v>
      </c>
      <c r="B17" s="18" t="s">
        <v>574</v>
      </c>
      <c r="C17" s="313" t="s">
        <v>371</v>
      </c>
      <c r="D17" s="313">
        <v>17026</v>
      </c>
      <c r="E17" s="313" t="s">
        <v>921</v>
      </c>
      <c r="F17" s="16">
        <v>4.57</v>
      </c>
      <c r="G17" s="16">
        <v>5.71</v>
      </c>
      <c r="H17" s="16">
        <v>5.71</v>
      </c>
      <c r="I17" s="313" t="s">
        <v>922</v>
      </c>
      <c r="J17" s="16">
        <v>4.8129999999999997</v>
      </c>
      <c r="K17" s="16">
        <v>3.85</v>
      </c>
      <c r="L17" s="16">
        <v>3.85</v>
      </c>
      <c r="M17" s="313" t="s">
        <v>924</v>
      </c>
      <c r="N17" s="16">
        <v>0</v>
      </c>
      <c r="O17" s="16">
        <v>6.8999999999999997E-5</v>
      </c>
      <c r="P17" s="16">
        <v>6.8999999999999997E-5</v>
      </c>
      <c r="Q17" s="313" t="s">
        <v>924</v>
      </c>
      <c r="R17" s="16">
        <v>0</v>
      </c>
      <c r="S17" s="16">
        <v>7.4999999999999993E-5</v>
      </c>
      <c r="T17" s="16">
        <v>7.4999999999999993E-5</v>
      </c>
    </row>
    <row r="18" spans="1:20" ht="39.950000000000003" customHeight="1" x14ac:dyDescent="0.25">
      <c r="A18" s="313" t="s">
        <v>575</v>
      </c>
      <c r="B18" s="18" t="s">
        <v>576</v>
      </c>
      <c r="C18" s="313" t="s">
        <v>371</v>
      </c>
      <c r="D18" s="313">
        <v>17026</v>
      </c>
      <c r="E18" s="313" t="s">
        <v>926</v>
      </c>
      <c r="F18" s="16">
        <v>0.55000000000000004</v>
      </c>
      <c r="G18" s="16">
        <v>0.69000099999999998</v>
      </c>
      <c r="H18" s="16">
        <v>0.69000099999999998</v>
      </c>
      <c r="I18" s="313" t="s">
        <v>924</v>
      </c>
      <c r="J18" s="16">
        <v>0</v>
      </c>
      <c r="K18" s="16">
        <v>1.11E-4</v>
      </c>
      <c r="L18" s="16">
        <v>1.11E-4</v>
      </c>
      <c r="M18" s="313" t="s">
        <v>924</v>
      </c>
      <c r="N18" s="16">
        <v>0</v>
      </c>
      <c r="O18" s="16">
        <v>7.1000000000000005E-5</v>
      </c>
      <c r="P18" s="16">
        <v>7.1000000000000005E-5</v>
      </c>
      <c r="Q18" s="313" t="s">
        <v>924</v>
      </c>
      <c r="R18" s="16">
        <v>0</v>
      </c>
      <c r="S18" s="16">
        <v>7.7000000000000001E-5</v>
      </c>
      <c r="T18" s="16">
        <v>7.7000000000000001E-5</v>
      </c>
    </row>
    <row r="19" spans="1:20" ht="39.950000000000003" customHeight="1" x14ac:dyDescent="0.25">
      <c r="A19" s="313" t="s">
        <v>470</v>
      </c>
      <c r="B19" s="18" t="s">
        <v>577</v>
      </c>
      <c r="C19" s="313" t="s">
        <v>371</v>
      </c>
      <c r="D19" s="313">
        <v>17026</v>
      </c>
      <c r="E19" s="313" t="s">
        <v>923</v>
      </c>
      <c r="F19" s="16">
        <v>1.76</v>
      </c>
      <c r="G19" s="16">
        <v>2.2000000000000002</v>
      </c>
      <c r="H19" s="16">
        <v>2.2000000000000002</v>
      </c>
      <c r="I19" s="313" t="s">
        <v>921</v>
      </c>
      <c r="J19" s="16">
        <v>1.66</v>
      </c>
      <c r="K19" s="16">
        <v>2.0699999999999998</v>
      </c>
      <c r="L19" s="16">
        <v>2.0699999999999998</v>
      </c>
      <c r="M19" s="313" t="s">
        <v>920</v>
      </c>
      <c r="N19" s="16">
        <v>0.78</v>
      </c>
      <c r="O19" s="16">
        <v>0.87</v>
      </c>
      <c r="P19" s="16">
        <v>0.87</v>
      </c>
      <c r="Q19" s="313" t="s">
        <v>921</v>
      </c>
      <c r="R19" s="16">
        <v>0.309</v>
      </c>
      <c r="S19" s="16">
        <v>0.35899999999999999</v>
      </c>
      <c r="T19" s="16">
        <v>0.35899999999999999</v>
      </c>
    </row>
    <row r="20" spans="1:20" ht="39.950000000000003" customHeight="1" x14ac:dyDescent="0.25">
      <c r="A20" s="313" t="s">
        <v>936</v>
      </c>
      <c r="B20" s="18" t="s">
        <v>937</v>
      </c>
      <c r="C20" s="313" t="s">
        <v>371</v>
      </c>
      <c r="D20" s="313">
        <v>17026</v>
      </c>
      <c r="E20" s="313" t="s">
        <v>924</v>
      </c>
      <c r="F20" s="16">
        <v>0</v>
      </c>
      <c r="G20" s="16">
        <v>4.1999999999999998E-5</v>
      </c>
      <c r="H20" s="16">
        <v>4.1999999999999998E-5</v>
      </c>
      <c r="I20" s="313" t="s">
        <v>924</v>
      </c>
      <c r="J20" s="16">
        <v>0</v>
      </c>
      <c r="K20" s="16">
        <v>4.1999999999999998E-5</v>
      </c>
      <c r="L20" s="16">
        <v>4.1999999999999998E-5</v>
      </c>
      <c r="M20" s="313" t="s">
        <v>924</v>
      </c>
      <c r="N20" s="16">
        <v>0</v>
      </c>
      <c r="O20" s="16">
        <v>4.1999999999999998E-5</v>
      </c>
      <c r="P20" s="16">
        <v>4.1999999999999998E-5</v>
      </c>
      <c r="Q20" s="313" t="s">
        <v>924</v>
      </c>
      <c r="R20" s="16">
        <v>0</v>
      </c>
      <c r="S20" s="16">
        <v>4.1999999999999998E-5</v>
      </c>
      <c r="T20" s="16">
        <v>4.1999999999999998E-5</v>
      </c>
    </row>
    <row r="21" spans="1:20" ht="39.950000000000003" customHeight="1" x14ac:dyDescent="0.25">
      <c r="A21" s="313" t="s">
        <v>239</v>
      </c>
      <c r="B21" s="18" t="s">
        <v>578</v>
      </c>
      <c r="C21" s="313" t="s">
        <v>371</v>
      </c>
      <c r="D21" s="313">
        <v>17026</v>
      </c>
      <c r="E21" s="313" t="s">
        <v>923</v>
      </c>
      <c r="F21" s="16">
        <v>1.8</v>
      </c>
      <c r="G21" s="16">
        <v>2.25</v>
      </c>
      <c r="H21" s="16">
        <v>2.25</v>
      </c>
      <c r="I21" s="313" t="s">
        <v>921</v>
      </c>
      <c r="J21" s="16">
        <v>1.67</v>
      </c>
      <c r="K21" s="16">
        <v>2.09</v>
      </c>
      <c r="L21" s="16">
        <v>2.09</v>
      </c>
      <c r="M21" s="313" t="s">
        <v>921</v>
      </c>
      <c r="N21" s="16">
        <v>0.98</v>
      </c>
      <c r="O21" s="16">
        <v>1.1000030000000001</v>
      </c>
      <c r="P21" s="16">
        <v>1.1000030000000001</v>
      </c>
      <c r="Q21" s="313" t="s">
        <v>922</v>
      </c>
      <c r="R21" s="16">
        <v>0.33</v>
      </c>
      <c r="S21" s="16">
        <v>0.38400000000000001</v>
      </c>
      <c r="T21" s="16">
        <v>0.38400000000000001</v>
      </c>
    </row>
    <row r="22" spans="1:20" ht="39.950000000000003" customHeight="1" x14ac:dyDescent="0.25">
      <c r="A22" s="17" t="s">
        <v>545</v>
      </c>
      <c r="B22" s="18" t="s">
        <v>579</v>
      </c>
      <c r="C22" s="313" t="s">
        <v>371</v>
      </c>
      <c r="D22" s="313">
        <v>17026</v>
      </c>
      <c r="E22" s="313" t="s">
        <v>920</v>
      </c>
      <c r="F22" s="16">
        <v>2.19</v>
      </c>
      <c r="G22" s="16">
        <v>2.73</v>
      </c>
      <c r="H22" s="16">
        <v>2.73</v>
      </c>
      <c r="I22" s="313" t="s">
        <v>921</v>
      </c>
      <c r="J22" s="16">
        <v>1.69</v>
      </c>
      <c r="K22" s="16">
        <v>2.1200009999999998</v>
      </c>
      <c r="L22" s="16">
        <v>2.1200009999999998</v>
      </c>
      <c r="M22" s="313" t="s">
        <v>921</v>
      </c>
      <c r="N22" s="16">
        <v>0.98</v>
      </c>
      <c r="O22" s="16">
        <v>1.100004</v>
      </c>
      <c r="P22" s="16">
        <v>1.100004</v>
      </c>
      <c r="Q22" s="313" t="s">
        <v>922</v>
      </c>
      <c r="R22" s="16">
        <v>0.32</v>
      </c>
      <c r="S22" s="16">
        <v>0.372</v>
      </c>
      <c r="T22" s="16">
        <v>0.372</v>
      </c>
    </row>
    <row r="23" spans="1:20" ht="39.950000000000003" customHeight="1" x14ac:dyDescent="0.25">
      <c r="A23" s="313" t="s">
        <v>507</v>
      </c>
      <c r="B23" s="18" t="s">
        <v>580</v>
      </c>
      <c r="C23" s="313" t="s">
        <v>371</v>
      </c>
      <c r="D23" s="313">
        <v>17026</v>
      </c>
      <c r="E23" s="313" t="s">
        <v>923</v>
      </c>
      <c r="F23" s="16">
        <v>1.03</v>
      </c>
      <c r="G23" s="16">
        <v>1.2900020000000001</v>
      </c>
      <c r="H23" s="16">
        <v>1.2900020000000001</v>
      </c>
      <c r="I23" s="313" t="s">
        <v>924</v>
      </c>
      <c r="J23" s="16">
        <v>0</v>
      </c>
      <c r="K23" s="16">
        <v>1.34E-4</v>
      </c>
      <c r="L23" s="16">
        <v>1.34E-4</v>
      </c>
      <c r="M23" s="313" t="s">
        <v>924</v>
      </c>
      <c r="N23" s="16">
        <v>0</v>
      </c>
      <c r="O23" s="16">
        <v>8.7999999999999998E-5</v>
      </c>
      <c r="P23" s="16">
        <v>8.7999999999999998E-5</v>
      </c>
      <c r="Q23" s="313" t="s">
        <v>924</v>
      </c>
      <c r="R23" s="16">
        <v>0</v>
      </c>
      <c r="S23" s="16">
        <v>9.6000000000000002E-5</v>
      </c>
      <c r="T23" s="16">
        <v>9.6000000000000002E-5</v>
      </c>
    </row>
    <row r="24" spans="1:20" ht="39.950000000000003" customHeight="1" x14ac:dyDescent="0.25">
      <c r="A24" s="17" t="s">
        <v>415</v>
      </c>
      <c r="B24" s="18" t="s">
        <v>581</v>
      </c>
      <c r="C24" s="313" t="s">
        <v>371</v>
      </c>
      <c r="D24" s="313">
        <v>17026</v>
      </c>
      <c r="E24" s="313" t="s">
        <v>920</v>
      </c>
      <c r="F24" s="16">
        <v>1.44</v>
      </c>
      <c r="G24" s="16">
        <v>1.8</v>
      </c>
      <c r="H24" s="16">
        <v>1.8</v>
      </c>
      <c r="I24" s="313" t="s">
        <v>924</v>
      </c>
      <c r="J24" s="16">
        <v>0</v>
      </c>
      <c r="K24" s="16">
        <v>1.44E-4</v>
      </c>
      <c r="L24" s="16">
        <v>1.44E-4</v>
      </c>
      <c r="M24" s="313" t="s">
        <v>924</v>
      </c>
      <c r="N24" s="16">
        <v>0</v>
      </c>
      <c r="O24" s="16">
        <v>9.3999999999999994E-5</v>
      </c>
      <c r="P24" s="16">
        <v>9.3999999999999994E-5</v>
      </c>
      <c r="Q24" s="313" t="s">
        <v>924</v>
      </c>
      <c r="R24" s="16">
        <v>0</v>
      </c>
      <c r="S24" s="16">
        <v>1.0399999999999999E-4</v>
      </c>
      <c r="T24" s="16">
        <v>1.0399999999999999E-4</v>
      </c>
    </row>
    <row r="25" spans="1:20" ht="39.950000000000003" customHeight="1" x14ac:dyDescent="0.25">
      <c r="A25" s="313" t="s">
        <v>249</v>
      </c>
      <c r="B25" s="18" t="s">
        <v>582</v>
      </c>
      <c r="C25" s="313" t="s">
        <v>371</v>
      </c>
      <c r="D25" s="313">
        <v>17026</v>
      </c>
      <c r="E25" s="313" t="s">
        <v>922</v>
      </c>
      <c r="F25" s="16">
        <v>3.81</v>
      </c>
      <c r="G25" s="16">
        <v>4.7699999999999996</v>
      </c>
      <c r="H25" s="16">
        <v>4.7699999999999996</v>
      </c>
      <c r="I25" s="313" t="s">
        <v>922</v>
      </c>
      <c r="J25" s="16">
        <v>4.7</v>
      </c>
      <c r="K25" s="16">
        <v>5.88</v>
      </c>
      <c r="L25" s="16">
        <v>5.88</v>
      </c>
      <c r="M25" s="313" t="s">
        <v>925</v>
      </c>
      <c r="N25" s="16">
        <v>1.97</v>
      </c>
      <c r="O25" s="16">
        <v>2.21</v>
      </c>
      <c r="P25" s="16">
        <v>1.97</v>
      </c>
      <c r="Q25" s="313" t="s">
        <v>927</v>
      </c>
      <c r="R25" s="16">
        <v>0.56200000000000006</v>
      </c>
      <c r="S25" s="16">
        <v>0.65400000000000003</v>
      </c>
      <c r="T25" s="16">
        <v>0.56200000000000006</v>
      </c>
    </row>
    <row r="26" spans="1:20" ht="39.950000000000003" customHeight="1" x14ac:dyDescent="0.25">
      <c r="A26" s="17" t="s">
        <v>301</v>
      </c>
      <c r="B26" s="18" t="s">
        <v>583</v>
      </c>
      <c r="C26" s="313" t="s">
        <v>371</v>
      </c>
      <c r="D26" s="313">
        <v>17026</v>
      </c>
      <c r="E26" s="313" t="s">
        <v>923</v>
      </c>
      <c r="F26" s="16">
        <v>0.89</v>
      </c>
      <c r="G26" s="16">
        <v>1.110001</v>
      </c>
      <c r="H26" s="16">
        <v>1.110001</v>
      </c>
      <c r="I26" s="313" t="s">
        <v>924</v>
      </c>
      <c r="J26" s="16">
        <v>0</v>
      </c>
      <c r="K26" s="16">
        <v>1.4999999999999999E-4</v>
      </c>
      <c r="L26" s="16">
        <v>1.4999999999999999E-4</v>
      </c>
      <c r="M26" s="313" t="s">
        <v>920</v>
      </c>
      <c r="N26" s="16">
        <v>0.59</v>
      </c>
      <c r="O26" s="16">
        <v>0.67</v>
      </c>
      <c r="P26" s="16">
        <v>0.67</v>
      </c>
      <c r="Q26" s="313" t="s">
        <v>920</v>
      </c>
      <c r="R26" s="16">
        <v>0.21</v>
      </c>
      <c r="S26" s="16">
        <v>0.245</v>
      </c>
      <c r="T26" s="16">
        <v>0.245</v>
      </c>
    </row>
    <row r="27" spans="1:20" ht="39.950000000000003" customHeight="1" x14ac:dyDescent="0.25">
      <c r="A27" s="17" t="s">
        <v>240</v>
      </c>
      <c r="B27" s="18" t="s">
        <v>584</v>
      </c>
      <c r="C27" s="313" t="s">
        <v>371</v>
      </c>
      <c r="D27" s="313">
        <v>17026</v>
      </c>
      <c r="E27" s="313" t="s">
        <v>920</v>
      </c>
      <c r="F27" s="16">
        <v>1.74</v>
      </c>
      <c r="G27" s="16">
        <v>2.17</v>
      </c>
      <c r="H27" s="16">
        <v>2.17</v>
      </c>
      <c r="I27" s="313" t="s">
        <v>921</v>
      </c>
      <c r="J27" s="16">
        <v>1.6</v>
      </c>
      <c r="K27" s="16">
        <v>2</v>
      </c>
      <c r="L27" s="16">
        <v>2</v>
      </c>
      <c r="M27" s="313" t="s">
        <v>921</v>
      </c>
      <c r="N27" s="16">
        <v>1.03</v>
      </c>
      <c r="O27" s="16">
        <v>1.1599999999999999</v>
      </c>
      <c r="P27" s="16">
        <v>1.1599999999999999</v>
      </c>
      <c r="Q27" s="313" t="s">
        <v>921</v>
      </c>
      <c r="R27" s="16">
        <v>0.26600000000000001</v>
      </c>
      <c r="S27" s="16">
        <v>0.31</v>
      </c>
      <c r="T27" s="16">
        <v>0.31</v>
      </c>
    </row>
    <row r="28" spans="1:20" ht="39.950000000000003" customHeight="1" x14ac:dyDescent="0.25">
      <c r="A28" s="17" t="s">
        <v>253</v>
      </c>
      <c r="B28" s="18" t="s">
        <v>585</v>
      </c>
      <c r="C28" s="313" t="s">
        <v>371</v>
      </c>
      <c r="D28" s="313">
        <v>17026</v>
      </c>
      <c r="E28" s="313" t="s">
        <v>921</v>
      </c>
      <c r="F28" s="16">
        <v>3.16</v>
      </c>
      <c r="G28" s="16">
        <v>3.95</v>
      </c>
      <c r="H28" s="16">
        <v>3.95</v>
      </c>
      <c r="I28" s="313" t="s">
        <v>922</v>
      </c>
      <c r="J28" s="16">
        <v>3.62</v>
      </c>
      <c r="K28" s="16">
        <v>4.5199999999999996</v>
      </c>
      <c r="L28" s="16">
        <v>4.5199999999999996</v>
      </c>
      <c r="M28" s="313" t="s">
        <v>922</v>
      </c>
      <c r="N28" s="16">
        <v>1.38</v>
      </c>
      <c r="O28" s="16">
        <v>1.56</v>
      </c>
      <c r="P28" s="16">
        <v>1.56</v>
      </c>
      <c r="Q28" s="313" t="s">
        <v>922</v>
      </c>
      <c r="R28" s="16">
        <v>0.40100000000000002</v>
      </c>
      <c r="S28" s="16">
        <v>0.46600000000000003</v>
      </c>
      <c r="T28" s="16">
        <v>0.46600000000000003</v>
      </c>
    </row>
    <row r="29" spans="1:20" ht="39.950000000000003" customHeight="1" x14ac:dyDescent="0.25">
      <c r="A29" s="313" t="s">
        <v>508</v>
      </c>
      <c r="B29" s="18" t="s">
        <v>586</v>
      </c>
      <c r="C29" s="313" t="s">
        <v>371</v>
      </c>
      <c r="D29" s="313">
        <v>17026</v>
      </c>
      <c r="E29" s="313" t="s">
        <v>926</v>
      </c>
      <c r="F29" s="16">
        <v>0.35</v>
      </c>
      <c r="G29" s="16">
        <v>0.44</v>
      </c>
      <c r="H29" s="16">
        <v>0.44</v>
      </c>
      <c r="I29" s="313" t="s">
        <v>924</v>
      </c>
      <c r="J29" s="16">
        <v>0</v>
      </c>
      <c r="K29" s="16">
        <v>1.9000000000000001E-4</v>
      </c>
      <c r="L29" s="16">
        <v>1.9000000000000001E-4</v>
      </c>
      <c r="M29" s="313" t="s">
        <v>924</v>
      </c>
      <c r="N29" s="16">
        <v>0</v>
      </c>
      <c r="O29" s="16">
        <v>1.21E-4</v>
      </c>
      <c r="P29" s="16">
        <v>1.21E-4</v>
      </c>
      <c r="Q29" s="313" t="s">
        <v>924</v>
      </c>
      <c r="R29" s="16">
        <v>0</v>
      </c>
      <c r="S29" s="16">
        <v>1.3999999999999999E-4</v>
      </c>
      <c r="T29" s="16">
        <v>1.3999999999999999E-4</v>
      </c>
    </row>
    <row r="30" spans="1:20" ht="39.950000000000003" customHeight="1" x14ac:dyDescent="0.25">
      <c r="A30" s="17" t="s">
        <v>241</v>
      </c>
      <c r="B30" s="18" t="s">
        <v>587</v>
      </c>
      <c r="C30" s="313" t="s">
        <v>371</v>
      </c>
      <c r="D30" s="313">
        <v>17026</v>
      </c>
      <c r="E30" s="313" t="s">
        <v>921</v>
      </c>
      <c r="F30" s="16">
        <v>3.88</v>
      </c>
      <c r="G30" s="16">
        <v>4.8499999999999996</v>
      </c>
      <c r="H30" s="16">
        <v>4.8499999999999996</v>
      </c>
      <c r="I30" s="313" t="s">
        <v>922</v>
      </c>
      <c r="J30" s="16">
        <v>3.3</v>
      </c>
      <c r="K30" s="16">
        <v>4.13</v>
      </c>
      <c r="L30" s="16">
        <v>4.13</v>
      </c>
      <c r="M30" s="313" t="s">
        <v>922</v>
      </c>
      <c r="N30" s="16">
        <v>2.14</v>
      </c>
      <c r="O30" s="16">
        <v>2.41</v>
      </c>
      <c r="P30" s="16">
        <v>2.41</v>
      </c>
      <c r="Q30" s="313" t="s">
        <v>922</v>
      </c>
      <c r="R30" s="16">
        <v>0.435</v>
      </c>
      <c r="S30" s="16">
        <v>0.50600000000000001</v>
      </c>
      <c r="T30" s="16">
        <v>0.50600000000000001</v>
      </c>
    </row>
    <row r="31" spans="1:20" ht="39.950000000000003" customHeight="1" x14ac:dyDescent="0.25">
      <c r="A31" s="17" t="s">
        <v>423</v>
      </c>
      <c r="B31" s="18" t="s">
        <v>588</v>
      </c>
      <c r="C31" s="313" t="s">
        <v>371</v>
      </c>
      <c r="D31" s="313">
        <v>17026</v>
      </c>
      <c r="E31" s="313" t="s">
        <v>926</v>
      </c>
      <c r="F31" s="16">
        <v>0.55000000000000004</v>
      </c>
      <c r="G31" s="16">
        <v>0.68</v>
      </c>
      <c r="H31" s="16">
        <v>0.68</v>
      </c>
      <c r="I31" s="313" t="s">
        <v>924</v>
      </c>
      <c r="J31" s="16">
        <v>0</v>
      </c>
      <c r="K31" s="16">
        <v>1.9900000000000001E-4</v>
      </c>
      <c r="L31" s="16">
        <v>1.9900000000000001E-4</v>
      </c>
      <c r="M31" s="313" t="s">
        <v>924</v>
      </c>
      <c r="N31" s="16">
        <v>0</v>
      </c>
      <c r="O31" s="16">
        <v>1.2899999999999999E-4</v>
      </c>
      <c r="P31" s="16">
        <v>1.2899999999999999E-4</v>
      </c>
      <c r="Q31" s="313" t="s">
        <v>924</v>
      </c>
      <c r="R31" s="16">
        <v>0</v>
      </c>
      <c r="S31" s="16">
        <v>1.4799999999999999E-4</v>
      </c>
      <c r="T31" s="16">
        <v>1.4799999999999999E-4</v>
      </c>
    </row>
    <row r="32" spans="1:20" ht="39.950000000000003" customHeight="1" x14ac:dyDescent="0.25">
      <c r="A32" s="17" t="s">
        <v>424</v>
      </c>
      <c r="B32" s="18" t="s">
        <v>589</v>
      </c>
      <c r="C32" s="313" t="s">
        <v>371</v>
      </c>
      <c r="D32" s="313">
        <v>17026</v>
      </c>
      <c r="E32" s="313" t="s">
        <v>926</v>
      </c>
      <c r="F32" s="16">
        <v>0.43</v>
      </c>
      <c r="G32" s="16">
        <v>0.54</v>
      </c>
      <c r="H32" s="16">
        <v>0.54</v>
      </c>
      <c r="I32" s="313" t="s">
        <v>921</v>
      </c>
      <c r="J32" s="16">
        <v>0.64</v>
      </c>
      <c r="K32" s="16">
        <v>0.81</v>
      </c>
      <c r="L32" s="16">
        <v>0.81</v>
      </c>
      <c r="M32" s="313" t="s">
        <v>920</v>
      </c>
      <c r="N32" s="16">
        <v>0.26</v>
      </c>
      <c r="O32" s="16">
        <v>0.3</v>
      </c>
      <c r="P32" s="16">
        <v>0.3</v>
      </c>
      <c r="Q32" s="313" t="s">
        <v>920</v>
      </c>
      <c r="R32" s="16">
        <v>8.2000000000000003E-2</v>
      </c>
      <c r="S32" s="16">
        <v>9.5000000000000001E-2</v>
      </c>
      <c r="T32" s="16">
        <v>9.5000000000000001E-2</v>
      </c>
    </row>
    <row r="33" spans="1:20" ht="39.950000000000003" customHeight="1" x14ac:dyDescent="0.25">
      <c r="A33" s="17" t="s">
        <v>928</v>
      </c>
      <c r="B33" s="18" t="s">
        <v>929</v>
      </c>
      <c r="C33" s="313" t="s">
        <v>371</v>
      </c>
      <c r="D33" s="313">
        <v>17026</v>
      </c>
      <c r="E33" s="313" t="s">
        <v>920</v>
      </c>
      <c r="F33" s="16">
        <v>0</v>
      </c>
      <c r="G33" s="16">
        <v>2.8959999999999999</v>
      </c>
      <c r="H33" s="16">
        <v>2.8959999999999999</v>
      </c>
      <c r="I33" s="313" t="s">
        <v>921</v>
      </c>
      <c r="J33" s="16">
        <v>0</v>
      </c>
      <c r="K33" s="16">
        <v>2.7530000000000001</v>
      </c>
      <c r="L33" s="16">
        <v>2.7530000000000001</v>
      </c>
      <c r="M33" s="313" t="s">
        <v>924</v>
      </c>
      <c r="N33" s="16">
        <v>0</v>
      </c>
      <c r="O33" s="16">
        <v>2.8E-5</v>
      </c>
      <c r="P33" s="16">
        <v>2.8E-5</v>
      </c>
      <c r="Q33" s="313" t="s">
        <v>924</v>
      </c>
      <c r="R33" s="16">
        <v>0</v>
      </c>
      <c r="S33" s="16">
        <v>2.8E-5</v>
      </c>
      <c r="T33" s="16">
        <v>2.8E-5</v>
      </c>
    </row>
    <row r="34" spans="1:20" ht="39.950000000000003" customHeight="1" x14ac:dyDescent="0.25">
      <c r="A34" s="17" t="s">
        <v>372</v>
      </c>
      <c r="B34" s="18" t="s">
        <v>590</v>
      </c>
      <c r="C34" s="313" t="s">
        <v>371</v>
      </c>
      <c r="D34" s="313">
        <v>17026</v>
      </c>
      <c r="E34" s="313" t="s">
        <v>922</v>
      </c>
      <c r="F34" s="16">
        <v>4.99</v>
      </c>
      <c r="G34" s="16">
        <v>6.24</v>
      </c>
      <c r="H34" s="16">
        <v>6.24</v>
      </c>
      <c r="I34" s="313" t="s">
        <v>922</v>
      </c>
      <c r="J34" s="16">
        <v>4.84</v>
      </c>
      <c r="K34" s="16">
        <v>6.05</v>
      </c>
      <c r="L34" s="16">
        <v>6.05</v>
      </c>
      <c r="M34" s="313" t="s">
        <v>922</v>
      </c>
      <c r="N34" s="16">
        <v>1.87</v>
      </c>
      <c r="O34" s="16">
        <v>2.1</v>
      </c>
      <c r="P34" s="16">
        <v>2.1</v>
      </c>
      <c r="Q34" s="313" t="s">
        <v>927</v>
      </c>
      <c r="R34" s="16">
        <v>0.45200000000000001</v>
      </c>
      <c r="S34" s="16">
        <v>0.52500000000000002</v>
      </c>
      <c r="T34" s="16">
        <v>0.45200000000000001</v>
      </c>
    </row>
    <row r="35" spans="1:20" ht="39.950000000000003" customHeight="1" x14ac:dyDescent="0.25">
      <c r="A35" s="313" t="s">
        <v>300</v>
      </c>
      <c r="B35" s="18" t="s">
        <v>592</v>
      </c>
      <c r="C35" s="313" t="s">
        <v>371</v>
      </c>
      <c r="D35" s="313">
        <v>17026</v>
      </c>
      <c r="E35" s="313" t="s">
        <v>923</v>
      </c>
      <c r="F35" s="16">
        <v>1.1100000000000001</v>
      </c>
      <c r="G35" s="16">
        <v>1.39</v>
      </c>
      <c r="H35" s="16">
        <v>1.39</v>
      </c>
      <c r="I35" s="313" t="s">
        <v>924</v>
      </c>
      <c r="J35" s="16">
        <v>0</v>
      </c>
      <c r="K35" s="16">
        <v>2.0900000000000001E-4</v>
      </c>
      <c r="L35" s="16">
        <v>2.0900000000000001E-4</v>
      </c>
      <c r="M35" s="313" t="s">
        <v>920</v>
      </c>
      <c r="N35" s="16">
        <v>0.68</v>
      </c>
      <c r="O35" s="16">
        <v>0.76</v>
      </c>
      <c r="P35" s="16">
        <v>0.76</v>
      </c>
      <c r="Q35" s="313" t="s">
        <v>921</v>
      </c>
      <c r="R35" s="16">
        <v>0.23200000000000001</v>
      </c>
      <c r="S35" s="16">
        <v>0.27</v>
      </c>
      <c r="T35" s="16">
        <v>0.27</v>
      </c>
    </row>
    <row r="36" spans="1:20" ht="39.950000000000003" customHeight="1" x14ac:dyDescent="0.25">
      <c r="A36" s="17" t="s">
        <v>321</v>
      </c>
      <c r="B36" s="18" t="s">
        <v>593</v>
      </c>
      <c r="C36" s="313" t="s">
        <v>371</v>
      </c>
      <c r="D36" s="313">
        <v>17026</v>
      </c>
      <c r="E36" s="313" t="s">
        <v>920</v>
      </c>
      <c r="F36" s="16">
        <v>2.0699999999999998</v>
      </c>
      <c r="G36" s="16">
        <v>2.5900020000000001</v>
      </c>
      <c r="H36" s="16">
        <v>2.5900020000000001</v>
      </c>
      <c r="I36" s="313" t="s">
        <v>921</v>
      </c>
      <c r="J36" s="16">
        <v>2.2000000000000002</v>
      </c>
      <c r="K36" s="16">
        <v>2.76</v>
      </c>
      <c r="L36" s="16">
        <v>2.76</v>
      </c>
      <c r="M36" s="313" t="s">
        <v>921</v>
      </c>
      <c r="N36" s="16">
        <v>1.1100000000000001</v>
      </c>
      <c r="O36" s="16">
        <v>1.25</v>
      </c>
      <c r="P36" s="16">
        <v>1.25</v>
      </c>
      <c r="Q36" s="313" t="s">
        <v>921</v>
      </c>
      <c r="R36" s="16">
        <v>0.27</v>
      </c>
      <c r="S36" s="16">
        <v>0.314</v>
      </c>
      <c r="T36" s="16">
        <v>0.314</v>
      </c>
    </row>
    <row r="37" spans="1:20" ht="39.950000000000003" customHeight="1" x14ac:dyDescent="0.25">
      <c r="A37" s="313" t="s">
        <v>487</v>
      </c>
      <c r="B37" s="18" t="s">
        <v>594</v>
      </c>
      <c r="C37" s="313" t="s">
        <v>371</v>
      </c>
      <c r="D37" s="313">
        <v>17026</v>
      </c>
      <c r="E37" s="313" t="s">
        <v>925</v>
      </c>
      <c r="F37" s="16">
        <v>20.29</v>
      </c>
      <c r="G37" s="16">
        <v>25.37</v>
      </c>
      <c r="H37" s="16">
        <v>20.29</v>
      </c>
      <c r="I37" s="313" t="s">
        <v>925</v>
      </c>
      <c r="J37" s="16">
        <v>10.210000000000001</v>
      </c>
      <c r="K37" s="16">
        <v>12.77</v>
      </c>
      <c r="L37" s="16">
        <v>10.210000000000001</v>
      </c>
      <c r="M37" s="313" t="s">
        <v>925</v>
      </c>
      <c r="N37" s="16">
        <v>4.74</v>
      </c>
      <c r="O37" s="16">
        <v>5.33</v>
      </c>
      <c r="P37" s="16">
        <v>4.74</v>
      </c>
      <c r="Q37" s="313" t="s">
        <v>925</v>
      </c>
      <c r="R37" s="16">
        <v>0.58799999999999997</v>
      </c>
      <c r="S37" s="16">
        <v>0.68400000000000005</v>
      </c>
      <c r="T37" s="16">
        <v>0.58799999999999997</v>
      </c>
    </row>
    <row r="38" spans="1:20" ht="39.950000000000003" customHeight="1" x14ac:dyDescent="0.25">
      <c r="A38" s="17" t="s">
        <v>509</v>
      </c>
      <c r="B38" s="18" t="s">
        <v>595</v>
      </c>
      <c r="C38" s="313" t="s">
        <v>371</v>
      </c>
      <c r="D38" s="313">
        <v>17026</v>
      </c>
      <c r="E38" s="313" t="s">
        <v>926</v>
      </c>
      <c r="F38" s="16">
        <v>0</v>
      </c>
      <c r="G38" s="16">
        <v>0.88500000000000001</v>
      </c>
      <c r="H38" s="16">
        <v>0.88500000000000001</v>
      </c>
      <c r="I38" s="313" t="s">
        <v>924</v>
      </c>
      <c r="J38" s="16">
        <v>0</v>
      </c>
      <c r="K38" s="16">
        <v>2.31E-4</v>
      </c>
      <c r="L38" s="16">
        <v>2.31E-4</v>
      </c>
      <c r="M38" s="313" t="s">
        <v>924</v>
      </c>
      <c r="N38" s="16">
        <v>0</v>
      </c>
      <c r="O38" s="16">
        <v>1.5300000000000001E-4</v>
      </c>
      <c r="P38" s="16">
        <v>1.5300000000000001E-4</v>
      </c>
      <c r="Q38" s="313" t="s">
        <v>924</v>
      </c>
      <c r="R38" s="16">
        <v>0</v>
      </c>
      <c r="S38" s="16">
        <v>1.75E-4</v>
      </c>
      <c r="T38" s="16">
        <v>1.75E-4</v>
      </c>
    </row>
    <row r="39" spans="1:20" ht="39.950000000000003" customHeight="1" x14ac:dyDescent="0.25">
      <c r="A39" s="17" t="s">
        <v>275</v>
      </c>
      <c r="B39" s="18" t="s">
        <v>596</v>
      </c>
      <c r="C39" s="313" t="s">
        <v>371</v>
      </c>
      <c r="D39" s="313">
        <v>17026</v>
      </c>
      <c r="E39" s="313" t="s">
        <v>921</v>
      </c>
      <c r="F39" s="16">
        <v>4.7</v>
      </c>
      <c r="G39" s="16">
        <v>5.87</v>
      </c>
      <c r="H39" s="16">
        <v>5.87</v>
      </c>
      <c r="I39" s="313" t="s">
        <v>922</v>
      </c>
      <c r="J39" s="16">
        <v>3.64</v>
      </c>
      <c r="K39" s="16">
        <v>4.55</v>
      </c>
      <c r="L39" s="16">
        <v>4.55</v>
      </c>
      <c r="M39" s="313" t="s">
        <v>922</v>
      </c>
      <c r="N39" s="16">
        <v>2.11</v>
      </c>
      <c r="O39" s="16">
        <v>2.37</v>
      </c>
      <c r="P39" s="16">
        <v>2.37</v>
      </c>
      <c r="Q39" s="313" t="s">
        <v>927</v>
      </c>
      <c r="R39" s="16">
        <v>0.505</v>
      </c>
      <c r="S39" s="16">
        <v>0.58799999999999997</v>
      </c>
      <c r="T39" s="16">
        <v>0.505</v>
      </c>
    </row>
    <row r="40" spans="1:20" ht="39.950000000000003" customHeight="1" x14ac:dyDescent="0.25">
      <c r="A40" s="17" t="s">
        <v>262</v>
      </c>
      <c r="B40" s="18" t="s">
        <v>597</v>
      </c>
      <c r="C40" s="313" t="s">
        <v>371</v>
      </c>
      <c r="D40" s="313">
        <v>17026</v>
      </c>
      <c r="E40" s="313" t="s">
        <v>923</v>
      </c>
      <c r="F40" s="16">
        <v>1.05</v>
      </c>
      <c r="G40" s="16">
        <v>1.32</v>
      </c>
      <c r="H40" s="16">
        <v>1.32</v>
      </c>
      <c r="I40" s="313" t="s">
        <v>924</v>
      </c>
      <c r="J40" s="16">
        <v>0</v>
      </c>
      <c r="K40" s="16">
        <v>2.3800000000000001E-4</v>
      </c>
      <c r="L40" s="16">
        <v>2.3800000000000001E-4</v>
      </c>
      <c r="M40" s="313" t="s">
        <v>920</v>
      </c>
      <c r="N40" s="16">
        <v>0.81</v>
      </c>
      <c r="O40" s="16">
        <v>0.91</v>
      </c>
      <c r="P40" s="16">
        <v>0.91</v>
      </c>
      <c r="Q40" s="313" t="s">
        <v>924</v>
      </c>
      <c r="R40" s="16">
        <v>0</v>
      </c>
      <c r="S40" s="16">
        <v>1.8100000000000001E-4</v>
      </c>
      <c r="T40" s="16">
        <v>1.8100000000000001E-4</v>
      </c>
    </row>
    <row r="41" spans="1:20" ht="39.950000000000003" customHeight="1" x14ac:dyDescent="0.25">
      <c r="A41" s="313" t="s">
        <v>333</v>
      </c>
      <c r="B41" s="18" t="s">
        <v>598</v>
      </c>
      <c r="C41" s="313" t="s">
        <v>371</v>
      </c>
      <c r="D41" s="313">
        <v>17026</v>
      </c>
      <c r="E41" s="313" t="s">
        <v>923</v>
      </c>
      <c r="F41" s="16">
        <v>1.01</v>
      </c>
      <c r="G41" s="16">
        <v>1.27</v>
      </c>
      <c r="H41" s="16">
        <v>1.27</v>
      </c>
      <c r="I41" s="313" t="s">
        <v>921</v>
      </c>
      <c r="J41" s="16">
        <v>1.02</v>
      </c>
      <c r="K41" s="16">
        <v>1.28</v>
      </c>
      <c r="L41" s="16">
        <v>1.28</v>
      </c>
      <c r="M41" s="313" t="s">
        <v>920</v>
      </c>
      <c r="N41" s="16">
        <v>0.74</v>
      </c>
      <c r="O41" s="16">
        <v>0.84</v>
      </c>
      <c r="P41" s="16">
        <v>0.84</v>
      </c>
      <c r="Q41" s="313" t="s">
        <v>921</v>
      </c>
      <c r="R41" s="16">
        <v>0.22800000000000001</v>
      </c>
      <c r="S41" s="16">
        <v>0.26500000000000001</v>
      </c>
      <c r="T41" s="16">
        <v>0.26500000000000001</v>
      </c>
    </row>
    <row r="42" spans="1:20" ht="39.950000000000003" customHeight="1" x14ac:dyDescent="0.25">
      <c r="A42" s="17" t="s">
        <v>599</v>
      </c>
      <c r="B42" s="18" t="s">
        <v>600</v>
      </c>
      <c r="C42" s="313" t="s">
        <v>432</v>
      </c>
      <c r="D42" s="313">
        <v>17030</v>
      </c>
      <c r="E42" s="313" t="s">
        <v>924</v>
      </c>
      <c r="F42" s="16">
        <v>0</v>
      </c>
      <c r="G42" s="16">
        <v>2.0000000000000002E-5</v>
      </c>
      <c r="H42" s="16">
        <v>2.0000000000000002E-5</v>
      </c>
      <c r="I42" s="313" t="s">
        <v>924</v>
      </c>
      <c r="J42" s="16">
        <v>0</v>
      </c>
      <c r="K42" s="16">
        <v>2.8E-5</v>
      </c>
      <c r="L42" s="16">
        <v>2.8E-5</v>
      </c>
      <c r="M42" s="313" t="s">
        <v>924</v>
      </c>
      <c r="N42" s="16">
        <v>0</v>
      </c>
      <c r="O42" s="16">
        <v>2.4000000000000001E-5</v>
      </c>
      <c r="P42" s="16">
        <v>2.4000000000000001E-5</v>
      </c>
      <c r="Q42" s="313" t="s">
        <v>924</v>
      </c>
      <c r="R42" s="16">
        <v>0</v>
      </c>
      <c r="S42" s="16">
        <v>2.1999999999999999E-5</v>
      </c>
      <c r="T42" s="16">
        <v>2.1999999999999999E-5</v>
      </c>
    </row>
    <row r="43" spans="1:20" ht="39.950000000000003" customHeight="1" x14ac:dyDescent="0.25">
      <c r="A43" s="313" t="s">
        <v>910</v>
      </c>
      <c r="B43" s="18" t="s">
        <v>911</v>
      </c>
      <c r="C43" s="313" t="s">
        <v>432</v>
      </c>
      <c r="D43" s="313">
        <v>17030</v>
      </c>
      <c r="E43" s="313" t="s">
        <v>920</v>
      </c>
      <c r="F43" s="16">
        <v>2.4700000000000002</v>
      </c>
      <c r="G43" s="16">
        <v>3.08</v>
      </c>
      <c r="H43" s="16">
        <v>3.08</v>
      </c>
      <c r="I43" s="313" t="s">
        <v>921</v>
      </c>
      <c r="J43" s="16">
        <v>2.0299999999999998</v>
      </c>
      <c r="K43" s="16">
        <v>2.54</v>
      </c>
      <c r="L43" s="16">
        <v>2.54</v>
      </c>
      <c r="M43" s="313" t="s">
        <v>921</v>
      </c>
      <c r="N43" s="16">
        <v>1.37</v>
      </c>
      <c r="O43" s="16">
        <v>1.54</v>
      </c>
      <c r="P43" s="16">
        <v>1.54</v>
      </c>
      <c r="Q43" s="313" t="s">
        <v>924</v>
      </c>
      <c r="R43" s="16">
        <v>0</v>
      </c>
      <c r="S43" s="16">
        <v>2.8E-5</v>
      </c>
      <c r="T43" s="16">
        <v>2.8E-5</v>
      </c>
    </row>
    <row r="44" spans="1:20" ht="39.950000000000003" customHeight="1" x14ac:dyDescent="0.25">
      <c r="A44" s="313" t="s">
        <v>397</v>
      </c>
      <c r="B44" s="18" t="s">
        <v>601</v>
      </c>
      <c r="C44" s="313" t="s">
        <v>432</v>
      </c>
      <c r="D44" s="313">
        <v>17030</v>
      </c>
      <c r="E44" s="313" t="s">
        <v>923</v>
      </c>
      <c r="F44" s="16">
        <v>1.05</v>
      </c>
      <c r="G44" s="16">
        <v>1.31</v>
      </c>
      <c r="H44" s="16">
        <v>1.31</v>
      </c>
      <c r="I44" s="313" t="s">
        <v>924</v>
      </c>
      <c r="J44" s="16">
        <v>0</v>
      </c>
      <c r="K44" s="16">
        <v>4.1999999999999998E-5</v>
      </c>
      <c r="L44" s="16">
        <v>4.1999999999999998E-5</v>
      </c>
      <c r="M44" s="313" t="s">
        <v>920</v>
      </c>
      <c r="N44" s="16">
        <v>0.73</v>
      </c>
      <c r="O44" s="16">
        <v>0.82000099999999998</v>
      </c>
      <c r="P44" s="16">
        <v>0.82000099999999998</v>
      </c>
      <c r="Q44" s="313" t="s">
        <v>924</v>
      </c>
      <c r="R44" s="16">
        <v>0</v>
      </c>
      <c r="S44" s="16">
        <v>2.8E-5</v>
      </c>
      <c r="T44" s="16">
        <v>2.8E-5</v>
      </c>
    </row>
    <row r="45" spans="1:20" ht="39.950000000000003" customHeight="1" x14ac:dyDescent="0.25">
      <c r="A45" s="17" t="s">
        <v>444</v>
      </c>
      <c r="B45" s="18" t="s">
        <v>602</v>
      </c>
      <c r="C45" s="313" t="s">
        <v>432</v>
      </c>
      <c r="D45" s="313">
        <v>17030</v>
      </c>
      <c r="E45" s="313" t="s">
        <v>924</v>
      </c>
      <c r="F45" s="16">
        <v>0</v>
      </c>
      <c r="G45" s="16">
        <v>3.1999999999999999E-5</v>
      </c>
      <c r="H45" s="16">
        <v>3.1999999999999999E-5</v>
      </c>
      <c r="I45" s="313" t="s">
        <v>924</v>
      </c>
      <c r="J45" s="16">
        <v>0</v>
      </c>
      <c r="K45" s="16">
        <v>5.1E-5</v>
      </c>
      <c r="L45" s="16">
        <v>5.1E-5</v>
      </c>
      <c r="M45" s="313" t="s">
        <v>924</v>
      </c>
      <c r="N45" s="16">
        <v>0</v>
      </c>
      <c r="O45" s="16">
        <v>4.1E-5</v>
      </c>
      <c r="P45" s="16">
        <v>4.1E-5</v>
      </c>
      <c r="Q45" s="313" t="s">
        <v>924</v>
      </c>
      <c r="R45" s="16">
        <v>0</v>
      </c>
      <c r="S45" s="16">
        <v>3.6000000000000001E-5</v>
      </c>
      <c r="T45" s="16">
        <v>3.6000000000000001E-5</v>
      </c>
    </row>
    <row r="46" spans="1:20" ht="39.950000000000003" customHeight="1" x14ac:dyDescent="0.25">
      <c r="A46" s="17" t="s">
        <v>285</v>
      </c>
      <c r="B46" s="18" t="s">
        <v>603</v>
      </c>
      <c r="C46" s="313" t="s">
        <v>432</v>
      </c>
      <c r="D46" s="313">
        <v>17030</v>
      </c>
      <c r="E46" s="313" t="s">
        <v>923</v>
      </c>
      <c r="F46" s="16">
        <v>1.52</v>
      </c>
      <c r="G46" s="16">
        <v>1.9100010000000001</v>
      </c>
      <c r="H46" s="16">
        <v>1.9100010000000001</v>
      </c>
      <c r="I46" s="313" t="s">
        <v>924</v>
      </c>
      <c r="J46" s="16">
        <v>0</v>
      </c>
      <c r="K46" s="16">
        <v>5.3000000000000001E-5</v>
      </c>
      <c r="L46" s="16">
        <v>5.3000000000000001E-5</v>
      </c>
      <c r="M46" s="313" t="s">
        <v>921</v>
      </c>
      <c r="N46" s="16">
        <v>0.9</v>
      </c>
      <c r="O46" s="16">
        <v>1.01</v>
      </c>
      <c r="P46" s="16">
        <v>1.01</v>
      </c>
      <c r="Q46" s="313" t="s">
        <v>921</v>
      </c>
      <c r="R46" s="16">
        <v>0.23899999999999999</v>
      </c>
      <c r="S46" s="16">
        <v>0.27800000000000002</v>
      </c>
      <c r="T46" s="16">
        <v>0.27800000000000002</v>
      </c>
    </row>
    <row r="47" spans="1:20" ht="39.950000000000003" customHeight="1" x14ac:dyDescent="0.25">
      <c r="A47" s="313" t="s">
        <v>604</v>
      </c>
      <c r="B47" s="18" t="s">
        <v>605</v>
      </c>
      <c r="C47" s="313" t="s">
        <v>432</v>
      </c>
      <c r="D47" s="313">
        <v>17030</v>
      </c>
      <c r="E47" s="313" t="s">
        <v>924</v>
      </c>
      <c r="F47" s="16">
        <v>0</v>
      </c>
      <c r="G47" s="16">
        <v>3.3000000000000003E-5</v>
      </c>
      <c r="H47" s="16">
        <v>3.3000000000000003E-5</v>
      </c>
      <c r="I47" s="313" t="s">
        <v>924</v>
      </c>
      <c r="J47" s="16">
        <v>0</v>
      </c>
      <c r="K47" s="16">
        <v>5.3999999999999998E-5</v>
      </c>
      <c r="L47" s="16">
        <v>5.3999999999999998E-5</v>
      </c>
      <c r="M47" s="313" t="s">
        <v>924</v>
      </c>
      <c r="N47" s="16">
        <v>0</v>
      </c>
      <c r="O47" s="16">
        <v>4.1999999999999998E-5</v>
      </c>
      <c r="P47" s="16">
        <v>4.1999999999999998E-5</v>
      </c>
      <c r="Q47" s="313" t="s">
        <v>924</v>
      </c>
      <c r="R47" s="16">
        <v>0</v>
      </c>
      <c r="S47" s="16">
        <v>3.6999999999999998E-5</v>
      </c>
      <c r="T47" s="16">
        <v>3.6999999999999998E-5</v>
      </c>
    </row>
    <row r="48" spans="1:20" ht="39.950000000000003" customHeight="1" x14ac:dyDescent="0.25">
      <c r="A48" s="313" t="s">
        <v>606</v>
      </c>
      <c r="B48" s="18" t="s">
        <v>607</v>
      </c>
      <c r="C48" s="313" t="s">
        <v>432</v>
      </c>
      <c r="D48" s="313">
        <v>17030</v>
      </c>
      <c r="E48" s="313" t="s">
        <v>926</v>
      </c>
      <c r="F48" s="16">
        <v>0</v>
      </c>
      <c r="G48" s="16">
        <v>1.1299999999999999</v>
      </c>
      <c r="H48" s="16">
        <v>1.1299999999999999</v>
      </c>
      <c r="I48" s="313" t="s">
        <v>924</v>
      </c>
      <c r="J48" s="16">
        <v>0</v>
      </c>
      <c r="K48" s="16">
        <v>5.5000000000000002E-5</v>
      </c>
      <c r="L48" s="16">
        <v>5.5000000000000002E-5</v>
      </c>
      <c r="M48" s="313" t="s">
        <v>924</v>
      </c>
      <c r="N48" s="16">
        <v>0</v>
      </c>
      <c r="O48" s="16">
        <v>4.3000000000000002E-5</v>
      </c>
      <c r="P48" s="16">
        <v>4.3000000000000002E-5</v>
      </c>
      <c r="Q48" s="313" t="s">
        <v>924</v>
      </c>
      <c r="R48" s="16">
        <v>0</v>
      </c>
      <c r="S48" s="16">
        <v>3.8000000000000002E-5</v>
      </c>
      <c r="T48" s="16">
        <v>3.8000000000000002E-5</v>
      </c>
    </row>
    <row r="49" spans="1:20" ht="39.950000000000003" customHeight="1" x14ac:dyDescent="0.25">
      <c r="A49" s="313" t="s">
        <v>608</v>
      </c>
      <c r="B49" s="18" t="s">
        <v>609</v>
      </c>
      <c r="C49" s="313" t="s">
        <v>432</v>
      </c>
      <c r="D49" s="313">
        <v>17030</v>
      </c>
      <c r="E49" s="313" t="s">
        <v>924</v>
      </c>
      <c r="F49" s="16">
        <v>0</v>
      </c>
      <c r="G49" s="16">
        <v>4.1E-5</v>
      </c>
      <c r="H49" s="16">
        <v>4.1E-5</v>
      </c>
      <c r="I49" s="313" t="s">
        <v>924</v>
      </c>
      <c r="J49" s="16">
        <v>0</v>
      </c>
      <c r="K49" s="16">
        <v>6.9999999999999994E-5</v>
      </c>
      <c r="L49" s="16">
        <v>6.9999999999999994E-5</v>
      </c>
      <c r="M49" s="313" t="s">
        <v>924</v>
      </c>
      <c r="N49" s="16">
        <v>0</v>
      </c>
      <c r="O49" s="16">
        <v>5.1E-5</v>
      </c>
      <c r="P49" s="16">
        <v>5.1E-5</v>
      </c>
      <c r="Q49" s="313" t="s">
        <v>924</v>
      </c>
      <c r="R49" s="16">
        <v>0</v>
      </c>
      <c r="S49" s="16">
        <v>4.8999999999999998E-5</v>
      </c>
      <c r="T49" s="16">
        <v>4.8999999999999998E-5</v>
      </c>
    </row>
    <row r="50" spans="1:20" ht="39.950000000000003" customHeight="1" x14ac:dyDescent="0.25">
      <c r="A50" s="17" t="s">
        <v>610</v>
      </c>
      <c r="B50" s="18" t="s">
        <v>611</v>
      </c>
      <c r="C50" s="313" t="s">
        <v>432</v>
      </c>
      <c r="D50" s="313">
        <v>17030</v>
      </c>
      <c r="E50" s="313" t="s">
        <v>924</v>
      </c>
      <c r="F50" s="16">
        <v>0</v>
      </c>
      <c r="G50" s="16">
        <v>4.3000000000000002E-5</v>
      </c>
      <c r="H50" s="16">
        <v>4.3000000000000002E-5</v>
      </c>
      <c r="I50" s="313" t="s">
        <v>924</v>
      </c>
      <c r="J50" s="16">
        <v>0</v>
      </c>
      <c r="K50" s="16">
        <v>7.3999999999999996E-5</v>
      </c>
      <c r="L50" s="16">
        <v>7.3999999999999996E-5</v>
      </c>
      <c r="M50" s="313" t="s">
        <v>924</v>
      </c>
      <c r="N50" s="16">
        <v>0</v>
      </c>
      <c r="O50" s="16">
        <v>5.3000000000000001E-5</v>
      </c>
      <c r="P50" s="16">
        <v>5.3000000000000001E-5</v>
      </c>
      <c r="Q50" s="313" t="s">
        <v>924</v>
      </c>
      <c r="R50" s="16">
        <v>0</v>
      </c>
      <c r="S50" s="16">
        <v>5.1999999999999997E-5</v>
      </c>
      <c r="T50" s="16">
        <v>5.1999999999999997E-5</v>
      </c>
    </row>
    <row r="51" spans="1:20" ht="39.950000000000003" customHeight="1" x14ac:dyDescent="0.25">
      <c r="A51" s="17" t="s">
        <v>612</v>
      </c>
      <c r="B51" s="18" t="s">
        <v>613</v>
      </c>
      <c r="C51" s="313" t="s">
        <v>432</v>
      </c>
      <c r="D51" s="313">
        <v>17030</v>
      </c>
      <c r="E51" s="313" t="s">
        <v>924</v>
      </c>
      <c r="F51" s="16">
        <v>0</v>
      </c>
      <c r="G51" s="16">
        <v>4.3999999999999999E-5</v>
      </c>
      <c r="H51" s="16">
        <v>4.3999999999999999E-5</v>
      </c>
      <c r="I51" s="313" t="s">
        <v>924</v>
      </c>
      <c r="J51" s="16">
        <v>0</v>
      </c>
      <c r="K51" s="16">
        <v>7.6000000000000004E-5</v>
      </c>
      <c r="L51" s="16">
        <v>7.6000000000000004E-5</v>
      </c>
      <c r="M51" s="313" t="s">
        <v>924</v>
      </c>
      <c r="N51" s="16">
        <v>0</v>
      </c>
      <c r="O51" s="16">
        <v>5.3999999999999998E-5</v>
      </c>
      <c r="P51" s="16">
        <v>5.3999999999999998E-5</v>
      </c>
      <c r="Q51" s="313" t="s">
        <v>924</v>
      </c>
      <c r="R51" s="16">
        <v>0</v>
      </c>
      <c r="S51" s="16">
        <v>5.3999999999999998E-5</v>
      </c>
      <c r="T51" s="16">
        <v>5.3999999999999998E-5</v>
      </c>
    </row>
    <row r="52" spans="1:20" ht="39.950000000000003" customHeight="1" x14ac:dyDescent="0.25">
      <c r="A52" s="313" t="s">
        <v>375</v>
      </c>
      <c r="B52" s="18" t="s">
        <v>614</v>
      </c>
      <c r="C52" s="313" t="s">
        <v>432</v>
      </c>
      <c r="D52" s="313">
        <v>17030</v>
      </c>
      <c r="E52" s="313" t="s">
        <v>924</v>
      </c>
      <c r="F52" s="16">
        <v>0</v>
      </c>
      <c r="G52" s="16">
        <v>5.0000000000000002E-5</v>
      </c>
      <c r="H52" s="16">
        <v>5.0000000000000002E-5</v>
      </c>
      <c r="I52" s="313" t="s">
        <v>924</v>
      </c>
      <c r="J52" s="16">
        <v>0</v>
      </c>
      <c r="K52" s="16">
        <v>1.01E-4</v>
      </c>
      <c r="L52" s="16">
        <v>1.01E-4</v>
      </c>
      <c r="M52" s="313" t="s">
        <v>924</v>
      </c>
      <c r="N52" s="16">
        <v>0</v>
      </c>
      <c r="O52" s="16">
        <v>6.3999999999999997E-5</v>
      </c>
      <c r="P52" s="16">
        <v>6.3999999999999997E-5</v>
      </c>
      <c r="Q52" s="313" t="s">
        <v>924</v>
      </c>
      <c r="R52" s="16">
        <v>0</v>
      </c>
      <c r="S52" s="16">
        <v>6.7999999999999999E-5</v>
      </c>
      <c r="T52" s="16">
        <v>6.7999999999999999E-5</v>
      </c>
    </row>
    <row r="53" spans="1:20" ht="39.950000000000003" customHeight="1" x14ac:dyDescent="0.25">
      <c r="A53" s="17" t="s">
        <v>293</v>
      </c>
      <c r="B53" s="18" t="s">
        <v>615</v>
      </c>
      <c r="C53" s="313" t="s">
        <v>432</v>
      </c>
      <c r="D53" s="313">
        <v>17030</v>
      </c>
      <c r="E53" s="313" t="s">
        <v>920</v>
      </c>
      <c r="F53" s="16">
        <v>1.67</v>
      </c>
      <c r="G53" s="16">
        <v>2.08</v>
      </c>
      <c r="H53" s="16">
        <v>2.08</v>
      </c>
      <c r="I53" s="313" t="s">
        <v>921</v>
      </c>
      <c r="J53" s="16">
        <v>1.44</v>
      </c>
      <c r="K53" s="16">
        <v>1.8</v>
      </c>
      <c r="L53" s="16">
        <v>1.8</v>
      </c>
      <c r="M53" s="313" t="s">
        <v>921</v>
      </c>
      <c r="N53" s="16">
        <v>1.1299999999999999</v>
      </c>
      <c r="O53" s="16">
        <v>1.2700020000000001</v>
      </c>
      <c r="P53" s="16">
        <v>1.2700020000000001</v>
      </c>
      <c r="Q53" s="313" t="s">
        <v>922</v>
      </c>
      <c r="R53" s="16">
        <v>0.23699999999999999</v>
      </c>
      <c r="S53" s="16">
        <v>0.27600000000000002</v>
      </c>
      <c r="T53" s="16">
        <v>0.27600000000000002</v>
      </c>
    </row>
    <row r="54" spans="1:20" ht="39.950000000000003" customHeight="1" x14ac:dyDescent="0.25">
      <c r="A54" s="17" t="s">
        <v>467</v>
      </c>
      <c r="B54" s="18" t="s">
        <v>616</v>
      </c>
      <c r="C54" s="313" t="s">
        <v>432</v>
      </c>
      <c r="D54" s="313">
        <v>17030</v>
      </c>
      <c r="E54" s="313" t="s">
        <v>924</v>
      </c>
      <c r="F54" s="16">
        <v>0</v>
      </c>
      <c r="G54" s="16">
        <v>5.1E-5</v>
      </c>
      <c r="H54" s="16">
        <v>5.1E-5</v>
      </c>
      <c r="I54" s="313" t="s">
        <v>924</v>
      </c>
      <c r="J54" s="16">
        <v>0</v>
      </c>
      <c r="K54" s="16">
        <v>1.0399999999999999E-4</v>
      </c>
      <c r="L54" s="16">
        <v>1.0399999999999999E-4</v>
      </c>
      <c r="M54" s="313" t="s">
        <v>924</v>
      </c>
      <c r="N54" s="16">
        <v>0</v>
      </c>
      <c r="O54" s="16">
        <v>6.4999999999999994E-5</v>
      </c>
      <c r="P54" s="16">
        <v>6.4999999999999994E-5</v>
      </c>
      <c r="Q54" s="313" t="s">
        <v>924</v>
      </c>
      <c r="R54" s="16">
        <v>0</v>
      </c>
      <c r="S54" s="16">
        <v>7.1000000000000005E-5</v>
      </c>
      <c r="T54" s="16">
        <v>7.1000000000000005E-5</v>
      </c>
    </row>
    <row r="55" spans="1:20" ht="39.950000000000003" customHeight="1" x14ac:dyDescent="0.25">
      <c r="A55" s="17" t="s">
        <v>510</v>
      </c>
      <c r="B55" s="18" t="s">
        <v>617</v>
      </c>
      <c r="C55" s="313" t="s">
        <v>432</v>
      </c>
      <c r="D55" s="313">
        <v>17030</v>
      </c>
      <c r="E55" s="313" t="s">
        <v>924</v>
      </c>
      <c r="F55" s="16">
        <v>0</v>
      </c>
      <c r="G55" s="16">
        <v>5.5000000000000002E-5</v>
      </c>
      <c r="H55" s="16">
        <v>5.5000000000000002E-5</v>
      </c>
      <c r="I55" s="313" t="s">
        <v>924</v>
      </c>
      <c r="J55" s="16">
        <v>0</v>
      </c>
      <c r="K55" s="16">
        <v>1.13E-4</v>
      </c>
      <c r="L55" s="16">
        <v>1.13E-4</v>
      </c>
      <c r="M55" s="313" t="s">
        <v>924</v>
      </c>
      <c r="N55" s="16">
        <v>0</v>
      </c>
      <c r="O55" s="16">
        <v>7.2000000000000002E-5</v>
      </c>
      <c r="P55" s="16">
        <v>7.2000000000000002E-5</v>
      </c>
      <c r="Q55" s="313" t="s">
        <v>924</v>
      </c>
      <c r="R55" s="16">
        <v>0</v>
      </c>
      <c r="S55" s="16">
        <v>7.7999999999999999E-5</v>
      </c>
      <c r="T55" s="16">
        <v>7.7999999999999999E-5</v>
      </c>
    </row>
    <row r="56" spans="1:20" ht="39.950000000000003" customHeight="1" x14ac:dyDescent="0.25">
      <c r="A56" s="313" t="s">
        <v>618</v>
      </c>
      <c r="B56" s="18" t="s">
        <v>619</v>
      </c>
      <c r="C56" s="313" t="s">
        <v>432</v>
      </c>
      <c r="D56" s="313">
        <v>17030</v>
      </c>
      <c r="E56" s="313" t="s">
        <v>924</v>
      </c>
      <c r="F56" s="16">
        <v>0</v>
      </c>
      <c r="G56" s="16">
        <v>5.5999999999999999E-5</v>
      </c>
      <c r="H56" s="16">
        <v>5.5999999999999999E-5</v>
      </c>
      <c r="I56" s="313" t="s">
        <v>924</v>
      </c>
      <c r="J56" s="16">
        <v>0</v>
      </c>
      <c r="K56" s="16">
        <v>1.1400000000000001E-4</v>
      </c>
      <c r="L56" s="16">
        <v>1.1400000000000001E-4</v>
      </c>
      <c r="M56" s="313" t="s">
        <v>924</v>
      </c>
      <c r="N56" s="16">
        <v>0</v>
      </c>
      <c r="O56" s="16">
        <v>7.2999999999999999E-5</v>
      </c>
      <c r="P56" s="16">
        <v>7.2999999999999999E-5</v>
      </c>
      <c r="Q56" s="313" t="s">
        <v>924</v>
      </c>
      <c r="R56" s="16">
        <v>0</v>
      </c>
      <c r="S56" s="16">
        <v>7.8999999999999996E-5</v>
      </c>
      <c r="T56" s="16">
        <v>7.8999999999999996E-5</v>
      </c>
    </row>
    <row r="57" spans="1:20" ht="39.950000000000003" customHeight="1" x14ac:dyDescent="0.25">
      <c r="A57" s="313" t="s">
        <v>472</v>
      </c>
      <c r="B57" s="18" t="s">
        <v>620</v>
      </c>
      <c r="C57" s="313" t="s">
        <v>432</v>
      </c>
      <c r="D57" s="313">
        <v>17030</v>
      </c>
      <c r="E57" s="313" t="s">
        <v>924</v>
      </c>
      <c r="F57" s="16">
        <v>0</v>
      </c>
      <c r="G57" s="16">
        <v>6.2000000000000003E-5</v>
      </c>
      <c r="H57" s="16">
        <v>6.2000000000000003E-5</v>
      </c>
      <c r="I57" s="313" t="s">
        <v>924</v>
      </c>
      <c r="J57" s="16">
        <v>0</v>
      </c>
      <c r="K57" s="16">
        <v>1.2400000000000001E-4</v>
      </c>
      <c r="L57" s="16">
        <v>1.2400000000000001E-4</v>
      </c>
      <c r="M57" s="313" t="s">
        <v>924</v>
      </c>
      <c r="N57" s="16">
        <v>0</v>
      </c>
      <c r="O57" s="16">
        <v>8.0000000000000007E-5</v>
      </c>
      <c r="P57" s="16">
        <v>8.0000000000000007E-5</v>
      </c>
      <c r="Q57" s="313" t="s">
        <v>924</v>
      </c>
      <c r="R57" s="16">
        <v>0</v>
      </c>
      <c r="S57" s="16">
        <v>8.7999999999999998E-5</v>
      </c>
      <c r="T57" s="16">
        <v>8.7999999999999998E-5</v>
      </c>
    </row>
    <row r="58" spans="1:20" ht="39.950000000000003" customHeight="1" x14ac:dyDescent="0.25">
      <c r="A58" s="17" t="s">
        <v>621</v>
      </c>
      <c r="B58" s="18" t="s">
        <v>622</v>
      </c>
      <c r="C58" s="313" t="s">
        <v>432</v>
      </c>
      <c r="D58" s="313">
        <v>17030</v>
      </c>
      <c r="E58" s="313" t="s">
        <v>924</v>
      </c>
      <c r="F58" s="16">
        <v>0</v>
      </c>
      <c r="G58" s="16">
        <v>6.7000000000000002E-5</v>
      </c>
      <c r="H58" s="16">
        <v>6.7000000000000002E-5</v>
      </c>
      <c r="I58" s="313" t="s">
        <v>924</v>
      </c>
      <c r="J58" s="16">
        <v>0</v>
      </c>
      <c r="K58" s="16">
        <v>1.2999999999999999E-4</v>
      </c>
      <c r="L58" s="16">
        <v>1.2999999999999999E-4</v>
      </c>
      <c r="M58" s="313" t="s">
        <v>924</v>
      </c>
      <c r="N58" s="16">
        <v>0</v>
      </c>
      <c r="O58" s="16">
        <v>8.5000000000000006E-5</v>
      </c>
      <c r="P58" s="16">
        <v>8.5000000000000006E-5</v>
      </c>
      <c r="Q58" s="313" t="s">
        <v>924</v>
      </c>
      <c r="R58" s="16">
        <v>0</v>
      </c>
      <c r="S58" s="16">
        <v>9.3999999999999994E-5</v>
      </c>
      <c r="T58" s="16">
        <v>9.3999999999999994E-5</v>
      </c>
    </row>
    <row r="59" spans="1:20" ht="39.950000000000003" customHeight="1" x14ac:dyDescent="0.25">
      <c r="A59" s="313" t="s">
        <v>623</v>
      </c>
      <c r="B59" s="18" t="s">
        <v>624</v>
      </c>
      <c r="C59" s="313" t="s">
        <v>432</v>
      </c>
      <c r="D59" s="313">
        <v>17030</v>
      </c>
      <c r="E59" s="313" t="s">
        <v>924</v>
      </c>
      <c r="F59" s="16">
        <v>0</v>
      </c>
      <c r="G59" s="16">
        <v>6.7999999999999999E-5</v>
      </c>
      <c r="H59" s="16">
        <v>6.7999999999999999E-5</v>
      </c>
      <c r="I59" s="313" t="s">
        <v>924</v>
      </c>
      <c r="J59" s="16">
        <v>0</v>
      </c>
      <c r="K59" s="16">
        <v>1.3100000000000001E-4</v>
      </c>
      <c r="L59" s="16">
        <v>1.3100000000000001E-4</v>
      </c>
      <c r="M59" s="313" t="s">
        <v>924</v>
      </c>
      <c r="N59" s="16">
        <v>0</v>
      </c>
      <c r="O59" s="16">
        <v>8.6000000000000003E-5</v>
      </c>
      <c r="P59" s="16">
        <v>8.6000000000000003E-5</v>
      </c>
      <c r="Q59" s="313" t="s">
        <v>924</v>
      </c>
      <c r="R59" s="16">
        <v>0</v>
      </c>
      <c r="S59" s="16">
        <v>9.5000000000000005E-5</v>
      </c>
      <c r="T59" s="16">
        <v>9.5000000000000005E-5</v>
      </c>
    </row>
    <row r="60" spans="1:20" ht="39.950000000000003" customHeight="1" x14ac:dyDescent="0.25">
      <c r="A60" s="17" t="s">
        <v>552</v>
      </c>
      <c r="B60" s="18" t="s">
        <v>625</v>
      </c>
      <c r="C60" s="313" t="s">
        <v>432</v>
      </c>
      <c r="D60" s="313">
        <v>17030</v>
      </c>
      <c r="E60" s="313" t="s">
        <v>926</v>
      </c>
      <c r="F60" s="16">
        <v>0.75</v>
      </c>
      <c r="G60" s="16">
        <v>0.94</v>
      </c>
      <c r="H60" s="16">
        <v>0.94</v>
      </c>
      <c r="I60" s="313" t="s">
        <v>924</v>
      </c>
      <c r="J60" s="16">
        <v>0</v>
      </c>
      <c r="K60" s="16">
        <v>1.36E-4</v>
      </c>
      <c r="L60" s="16">
        <v>1.36E-4</v>
      </c>
      <c r="M60" s="313" t="s">
        <v>924</v>
      </c>
      <c r="N60" s="16">
        <v>0</v>
      </c>
      <c r="O60" s="16">
        <v>9.0000000000000006E-5</v>
      </c>
      <c r="P60" s="16">
        <v>9.0000000000000006E-5</v>
      </c>
      <c r="Q60" s="313" t="s">
        <v>924</v>
      </c>
      <c r="R60" s="16">
        <v>0</v>
      </c>
      <c r="S60" s="16">
        <v>9.7999999999999997E-5</v>
      </c>
      <c r="T60" s="16">
        <v>9.7999999999999997E-5</v>
      </c>
    </row>
    <row r="61" spans="1:20" ht="39.950000000000003" customHeight="1" x14ac:dyDescent="0.25">
      <c r="A61" s="17" t="s">
        <v>626</v>
      </c>
      <c r="B61" s="18" t="s">
        <v>627</v>
      </c>
      <c r="C61" s="313" t="s">
        <v>432</v>
      </c>
      <c r="D61" s="313">
        <v>17030</v>
      </c>
      <c r="E61" s="313" t="s">
        <v>924</v>
      </c>
      <c r="F61" s="16">
        <v>0</v>
      </c>
      <c r="G61" s="16">
        <v>6.9999999999999994E-5</v>
      </c>
      <c r="H61" s="16">
        <v>6.9999999999999994E-5</v>
      </c>
      <c r="I61" s="313" t="s">
        <v>924</v>
      </c>
      <c r="J61" s="16">
        <v>0</v>
      </c>
      <c r="K61" s="16">
        <v>1.3799999999999999E-4</v>
      </c>
      <c r="L61" s="16">
        <v>1.3799999999999999E-4</v>
      </c>
      <c r="M61" s="313" t="s">
        <v>924</v>
      </c>
      <c r="N61" s="16">
        <v>0</v>
      </c>
      <c r="O61" s="16">
        <v>9.1000000000000003E-5</v>
      </c>
      <c r="P61" s="16">
        <v>9.1000000000000003E-5</v>
      </c>
      <c r="Q61" s="313" t="s">
        <v>924</v>
      </c>
      <c r="R61" s="16">
        <v>0</v>
      </c>
      <c r="S61" s="16">
        <v>9.8999999999999994E-5</v>
      </c>
      <c r="T61" s="16">
        <v>9.8999999999999994E-5</v>
      </c>
    </row>
    <row r="62" spans="1:20" ht="39.950000000000003" customHeight="1" x14ac:dyDescent="0.25">
      <c r="A62" s="313" t="s">
        <v>335</v>
      </c>
      <c r="B62" s="18" t="s">
        <v>628</v>
      </c>
      <c r="C62" s="313" t="s">
        <v>432</v>
      </c>
      <c r="D62" s="313">
        <v>17030</v>
      </c>
      <c r="E62" s="313" t="s">
        <v>923</v>
      </c>
      <c r="F62" s="16">
        <v>1.63</v>
      </c>
      <c r="G62" s="16">
        <v>2.04</v>
      </c>
      <c r="H62" s="16">
        <v>2.04</v>
      </c>
      <c r="I62" s="313" t="s">
        <v>924</v>
      </c>
      <c r="J62" s="16">
        <v>0</v>
      </c>
      <c r="K62" s="16">
        <v>1.4799999999999999E-4</v>
      </c>
      <c r="L62" s="16">
        <v>1.4799999999999999E-4</v>
      </c>
      <c r="M62" s="313" t="s">
        <v>921</v>
      </c>
      <c r="N62" s="16">
        <v>1.33</v>
      </c>
      <c r="O62" s="16">
        <v>1.5000009999999999</v>
      </c>
      <c r="P62" s="16">
        <v>1.5000009999999999</v>
      </c>
      <c r="Q62" s="313" t="s">
        <v>924</v>
      </c>
      <c r="R62" s="16">
        <v>0</v>
      </c>
      <c r="S62" s="16">
        <v>1.07E-4</v>
      </c>
      <c r="T62" s="16">
        <v>1.07E-4</v>
      </c>
    </row>
    <row r="63" spans="1:20" ht="39.950000000000003" customHeight="1" x14ac:dyDescent="0.25">
      <c r="A63" s="313" t="s">
        <v>511</v>
      </c>
      <c r="B63" s="18" t="s">
        <v>629</v>
      </c>
      <c r="C63" s="313" t="s">
        <v>432</v>
      </c>
      <c r="D63" s="313">
        <v>17030</v>
      </c>
      <c r="E63" s="313" t="s">
        <v>924</v>
      </c>
      <c r="F63" s="16">
        <v>0</v>
      </c>
      <c r="G63" s="16">
        <v>7.4999999999999993E-5</v>
      </c>
      <c r="H63" s="16">
        <v>7.4999999999999993E-5</v>
      </c>
      <c r="I63" s="313" t="s">
        <v>924</v>
      </c>
      <c r="J63" s="16">
        <v>0</v>
      </c>
      <c r="K63" s="16">
        <v>1.5100000000000001E-4</v>
      </c>
      <c r="L63" s="16">
        <v>1.5100000000000001E-4</v>
      </c>
      <c r="M63" s="313" t="s">
        <v>924</v>
      </c>
      <c r="N63" s="16">
        <v>0</v>
      </c>
      <c r="O63" s="16">
        <v>9.8999999999999994E-5</v>
      </c>
      <c r="P63" s="16">
        <v>9.8999999999999994E-5</v>
      </c>
      <c r="Q63" s="313" t="s">
        <v>924</v>
      </c>
      <c r="R63" s="16">
        <v>0</v>
      </c>
      <c r="S63" s="16">
        <v>1.0900000000000001E-4</v>
      </c>
      <c r="T63" s="16">
        <v>1.0900000000000001E-4</v>
      </c>
    </row>
    <row r="64" spans="1:20" ht="39.950000000000003" customHeight="1" x14ac:dyDescent="0.25">
      <c r="A64" s="313" t="s">
        <v>416</v>
      </c>
      <c r="B64" s="18" t="s">
        <v>630</v>
      </c>
      <c r="C64" s="313" t="s">
        <v>432</v>
      </c>
      <c r="D64" s="313">
        <v>17030</v>
      </c>
      <c r="E64" s="313" t="s">
        <v>923</v>
      </c>
      <c r="F64" s="16">
        <v>1.07</v>
      </c>
      <c r="G64" s="16">
        <v>1.34</v>
      </c>
      <c r="H64" s="16">
        <v>1.34</v>
      </c>
      <c r="I64" s="313" t="s">
        <v>924</v>
      </c>
      <c r="J64" s="16">
        <v>0</v>
      </c>
      <c r="K64" s="16">
        <v>1.5200000000000001E-4</v>
      </c>
      <c r="L64" s="16">
        <v>1.5200000000000001E-4</v>
      </c>
      <c r="M64" s="313" t="s">
        <v>920</v>
      </c>
      <c r="N64" s="16">
        <v>0.75</v>
      </c>
      <c r="O64" s="16">
        <v>0.85</v>
      </c>
      <c r="P64" s="16">
        <v>0.85</v>
      </c>
      <c r="Q64" s="313" t="s">
        <v>924</v>
      </c>
      <c r="R64" s="16">
        <v>0</v>
      </c>
      <c r="S64" s="16">
        <v>1.1E-4</v>
      </c>
      <c r="T64" s="16">
        <v>1.1E-4</v>
      </c>
    </row>
    <row r="65" spans="1:20" ht="39.950000000000003" customHeight="1" x14ac:dyDescent="0.25">
      <c r="A65" s="17" t="s">
        <v>512</v>
      </c>
      <c r="B65" s="18" t="s">
        <v>631</v>
      </c>
      <c r="C65" s="313" t="s">
        <v>432</v>
      </c>
      <c r="D65" s="313">
        <v>17030</v>
      </c>
      <c r="E65" s="313" t="s">
        <v>926</v>
      </c>
      <c r="F65" s="16">
        <v>0</v>
      </c>
      <c r="G65" s="16">
        <v>1.008</v>
      </c>
      <c r="H65" s="16">
        <v>1.008</v>
      </c>
      <c r="I65" s="313" t="s">
        <v>924</v>
      </c>
      <c r="J65" s="16">
        <v>0</v>
      </c>
      <c r="K65" s="16">
        <v>1.5300000000000001E-4</v>
      </c>
      <c r="L65" s="16">
        <v>1.5300000000000001E-4</v>
      </c>
      <c r="M65" s="313" t="s">
        <v>924</v>
      </c>
      <c r="N65" s="16">
        <v>0</v>
      </c>
      <c r="O65" s="16">
        <v>1E-4</v>
      </c>
      <c r="P65" s="16">
        <v>1E-4</v>
      </c>
      <c r="Q65" s="313" t="s">
        <v>924</v>
      </c>
      <c r="R65" s="16">
        <v>0</v>
      </c>
      <c r="S65" s="16">
        <v>1.11E-4</v>
      </c>
      <c r="T65" s="16">
        <v>1.11E-4</v>
      </c>
    </row>
    <row r="66" spans="1:20" ht="39.950000000000003" customHeight="1" x14ac:dyDescent="0.25">
      <c r="A66" s="17" t="s">
        <v>303</v>
      </c>
      <c r="B66" s="18" t="s">
        <v>632</v>
      </c>
      <c r="C66" s="313" t="s">
        <v>432</v>
      </c>
      <c r="D66" s="313">
        <v>17030</v>
      </c>
      <c r="E66" s="313" t="s">
        <v>926</v>
      </c>
      <c r="F66" s="16">
        <v>0.79</v>
      </c>
      <c r="G66" s="16">
        <v>0.99</v>
      </c>
      <c r="H66" s="16">
        <v>0.99</v>
      </c>
      <c r="I66" s="313" t="s">
        <v>924</v>
      </c>
      <c r="J66" s="16">
        <v>0</v>
      </c>
      <c r="K66" s="16">
        <v>1.56E-4</v>
      </c>
      <c r="L66" s="16">
        <v>1.56E-4</v>
      </c>
      <c r="M66" s="313" t="s">
        <v>920</v>
      </c>
      <c r="N66" s="16">
        <v>0.54</v>
      </c>
      <c r="O66" s="16">
        <v>0.61</v>
      </c>
      <c r="P66" s="16">
        <v>0.61</v>
      </c>
      <c r="Q66" s="313" t="s">
        <v>924</v>
      </c>
      <c r="R66" s="16">
        <v>0</v>
      </c>
      <c r="S66" s="16">
        <v>1.1400000000000001E-4</v>
      </c>
      <c r="T66" s="16">
        <v>1.1400000000000001E-4</v>
      </c>
    </row>
    <row r="67" spans="1:20" ht="39.950000000000003" customHeight="1" x14ac:dyDescent="0.25">
      <c r="A67" s="17" t="s">
        <v>633</v>
      </c>
      <c r="B67" s="18" t="s">
        <v>634</v>
      </c>
      <c r="C67" s="313" t="s">
        <v>432</v>
      </c>
      <c r="D67" s="313">
        <v>17030</v>
      </c>
      <c r="E67" s="313" t="s">
        <v>924</v>
      </c>
      <c r="F67" s="16">
        <v>0</v>
      </c>
      <c r="G67" s="16">
        <v>7.7999999999999999E-5</v>
      </c>
      <c r="H67" s="16">
        <v>7.7999999999999999E-5</v>
      </c>
      <c r="I67" s="313" t="s">
        <v>924</v>
      </c>
      <c r="J67" s="16">
        <v>0</v>
      </c>
      <c r="K67" s="16">
        <v>1.5699999999999999E-4</v>
      </c>
      <c r="L67" s="16">
        <v>1.5699999999999999E-4</v>
      </c>
      <c r="M67" s="313" t="s">
        <v>924</v>
      </c>
      <c r="N67" s="16">
        <v>0</v>
      </c>
      <c r="O67" s="16">
        <v>1.02E-4</v>
      </c>
      <c r="P67" s="16">
        <v>1.02E-4</v>
      </c>
      <c r="Q67" s="313" t="s">
        <v>924</v>
      </c>
      <c r="R67" s="16">
        <v>0</v>
      </c>
      <c r="S67" s="16">
        <v>1.15E-4</v>
      </c>
      <c r="T67" s="16">
        <v>1.15E-4</v>
      </c>
    </row>
    <row r="68" spans="1:20" ht="39.950000000000003" customHeight="1" x14ac:dyDescent="0.25">
      <c r="A68" s="17" t="s">
        <v>479</v>
      </c>
      <c r="B68" s="18" t="s">
        <v>635</v>
      </c>
      <c r="C68" s="313" t="s">
        <v>432</v>
      </c>
      <c r="D68" s="313">
        <v>17030</v>
      </c>
      <c r="E68" s="313" t="s">
        <v>924</v>
      </c>
      <c r="F68" s="16">
        <v>0</v>
      </c>
      <c r="G68" s="16">
        <v>7.8999999999999996E-5</v>
      </c>
      <c r="H68" s="16">
        <v>7.8999999999999996E-5</v>
      </c>
      <c r="I68" s="313" t="s">
        <v>924</v>
      </c>
      <c r="J68" s="16">
        <v>0</v>
      </c>
      <c r="K68" s="16">
        <v>1.64E-4</v>
      </c>
      <c r="L68" s="16">
        <v>1.64E-4</v>
      </c>
      <c r="M68" s="313" t="s">
        <v>924</v>
      </c>
      <c r="N68" s="16">
        <v>0</v>
      </c>
      <c r="O68" s="16">
        <v>1.0399999999999999E-4</v>
      </c>
      <c r="P68" s="16">
        <v>1.0399999999999999E-4</v>
      </c>
      <c r="Q68" s="313" t="s">
        <v>924</v>
      </c>
      <c r="R68" s="16">
        <v>0</v>
      </c>
      <c r="S68" s="16">
        <v>1.1900000000000001E-4</v>
      </c>
      <c r="T68" s="16">
        <v>1.1900000000000001E-4</v>
      </c>
    </row>
    <row r="69" spans="1:20" ht="39.950000000000003" customHeight="1" x14ac:dyDescent="0.25">
      <c r="A69" s="313" t="s">
        <v>553</v>
      </c>
      <c r="B69" s="18" t="s">
        <v>636</v>
      </c>
      <c r="C69" s="313" t="s">
        <v>432</v>
      </c>
      <c r="D69" s="313">
        <v>17030</v>
      </c>
      <c r="E69" s="313" t="s">
        <v>926</v>
      </c>
      <c r="F69" s="16">
        <v>0.63</v>
      </c>
      <c r="G69" s="16">
        <v>0.79000199999999998</v>
      </c>
      <c r="H69" s="16">
        <v>0.79000199999999998</v>
      </c>
      <c r="I69" s="313" t="s">
        <v>924</v>
      </c>
      <c r="J69" s="16">
        <v>0</v>
      </c>
      <c r="K69" s="16">
        <v>1.6899999999999999E-4</v>
      </c>
      <c r="L69" s="16">
        <v>1.6899999999999999E-4</v>
      </c>
      <c r="M69" s="313" t="s">
        <v>924</v>
      </c>
      <c r="N69" s="16">
        <v>0</v>
      </c>
      <c r="O69" s="16">
        <v>1.08E-4</v>
      </c>
      <c r="P69" s="16">
        <v>1.08E-4</v>
      </c>
      <c r="Q69" s="313" t="s">
        <v>924</v>
      </c>
      <c r="R69" s="16">
        <v>0</v>
      </c>
      <c r="S69" s="16">
        <v>1.2300000000000001E-4</v>
      </c>
      <c r="T69" s="16">
        <v>1.2300000000000001E-4</v>
      </c>
    </row>
    <row r="70" spans="1:20" ht="39.950000000000003" customHeight="1" x14ac:dyDescent="0.25">
      <c r="A70" s="17" t="s">
        <v>419</v>
      </c>
      <c r="B70" s="18" t="s">
        <v>637</v>
      </c>
      <c r="C70" s="313" t="s">
        <v>432</v>
      </c>
      <c r="D70" s="313">
        <v>17030</v>
      </c>
      <c r="E70" s="313" t="s">
        <v>926</v>
      </c>
      <c r="F70" s="16">
        <v>0.57999999999999996</v>
      </c>
      <c r="G70" s="16">
        <v>0.73</v>
      </c>
      <c r="H70" s="16">
        <v>0.73</v>
      </c>
      <c r="I70" s="313" t="s">
        <v>924</v>
      </c>
      <c r="J70" s="16">
        <v>0</v>
      </c>
      <c r="K70" s="16">
        <v>1.7000000000000001E-4</v>
      </c>
      <c r="L70" s="16">
        <v>1.7000000000000001E-4</v>
      </c>
      <c r="M70" s="313" t="s">
        <v>924</v>
      </c>
      <c r="N70" s="16">
        <v>0</v>
      </c>
      <c r="O70" s="16">
        <v>1.0900000000000001E-4</v>
      </c>
      <c r="P70" s="16">
        <v>1.0900000000000001E-4</v>
      </c>
      <c r="Q70" s="313" t="s">
        <v>924</v>
      </c>
      <c r="R70" s="16">
        <v>0</v>
      </c>
      <c r="S70" s="16">
        <v>1.2400000000000001E-4</v>
      </c>
      <c r="T70" s="16">
        <v>1.2400000000000001E-4</v>
      </c>
    </row>
    <row r="71" spans="1:20" ht="39.950000000000003" customHeight="1" x14ac:dyDescent="0.25">
      <c r="A71" s="313" t="s">
        <v>282</v>
      </c>
      <c r="B71" s="18" t="s">
        <v>638</v>
      </c>
      <c r="C71" s="313" t="s">
        <v>432</v>
      </c>
      <c r="D71" s="313">
        <v>17030</v>
      </c>
      <c r="E71" s="313" t="s">
        <v>923</v>
      </c>
      <c r="F71" s="16">
        <v>1.24</v>
      </c>
      <c r="G71" s="16">
        <v>1.550001</v>
      </c>
      <c r="H71" s="16">
        <v>1.550001</v>
      </c>
      <c r="I71" s="313" t="s">
        <v>924</v>
      </c>
      <c r="J71" s="16">
        <v>0</v>
      </c>
      <c r="K71" s="16">
        <v>1.73E-4</v>
      </c>
      <c r="L71" s="16">
        <v>1.73E-4</v>
      </c>
      <c r="M71" s="313" t="s">
        <v>924</v>
      </c>
      <c r="N71" s="16">
        <v>0</v>
      </c>
      <c r="O71" s="16">
        <v>1.12E-4</v>
      </c>
      <c r="P71" s="16">
        <v>1.12E-4</v>
      </c>
      <c r="Q71" s="313" t="s">
        <v>924</v>
      </c>
      <c r="R71" s="16">
        <v>0</v>
      </c>
      <c r="S71" s="16">
        <v>1.27E-4</v>
      </c>
      <c r="T71" s="16">
        <v>1.27E-4</v>
      </c>
    </row>
    <row r="72" spans="1:20" ht="39.950000000000003" customHeight="1" x14ac:dyDescent="0.25">
      <c r="A72" s="313" t="s">
        <v>421</v>
      </c>
      <c r="B72" s="18" t="s">
        <v>639</v>
      </c>
      <c r="C72" s="313" t="s">
        <v>432</v>
      </c>
      <c r="D72" s="313">
        <v>17030</v>
      </c>
      <c r="E72" s="313" t="s">
        <v>926</v>
      </c>
      <c r="F72" s="16">
        <v>0.68</v>
      </c>
      <c r="G72" s="16">
        <v>0.85000100000000001</v>
      </c>
      <c r="H72" s="16">
        <v>0.85000100000000001</v>
      </c>
      <c r="I72" s="313" t="s">
        <v>924</v>
      </c>
      <c r="J72" s="16">
        <v>0</v>
      </c>
      <c r="K72" s="16">
        <v>1.8100000000000001E-4</v>
      </c>
      <c r="L72" s="16">
        <v>1.8100000000000001E-4</v>
      </c>
      <c r="M72" s="313" t="s">
        <v>924</v>
      </c>
      <c r="N72" s="16">
        <v>0</v>
      </c>
      <c r="O72" s="16">
        <v>1.1400000000000001E-4</v>
      </c>
      <c r="P72" s="16">
        <v>1.1400000000000001E-4</v>
      </c>
      <c r="Q72" s="313" t="s">
        <v>924</v>
      </c>
      <c r="R72" s="16">
        <v>0</v>
      </c>
      <c r="S72" s="16">
        <v>1.3200000000000001E-4</v>
      </c>
      <c r="T72" s="16">
        <v>1.3200000000000001E-4</v>
      </c>
    </row>
    <row r="73" spans="1:20" ht="39.950000000000003" customHeight="1" x14ac:dyDescent="0.25">
      <c r="A73" s="313" t="s">
        <v>513</v>
      </c>
      <c r="B73" s="18" t="s">
        <v>640</v>
      </c>
      <c r="C73" s="313" t="s">
        <v>432</v>
      </c>
      <c r="D73" s="313">
        <v>17030</v>
      </c>
      <c r="E73" s="313" t="s">
        <v>924</v>
      </c>
      <c r="F73" s="16">
        <v>0</v>
      </c>
      <c r="G73" s="16">
        <v>8.6000000000000003E-5</v>
      </c>
      <c r="H73" s="16">
        <v>8.6000000000000003E-5</v>
      </c>
      <c r="I73" s="313" t="s">
        <v>924</v>
      </c>
      <c r="J73" s="16">
        <v>0</v>
      </c>
      <c r="K73" s="16">
        <v>1.8200000000000001E-4</v>
      </c>
      <c r="L73" s="16">
        <v>1.8200000000000001E-4</v>
      </c>
      <c r="M73" s="313" t="s">
        <v>924</v>
      </c>
      <c r="N73" s="16">
        <v>0</v>
      </c>
      <c r="O73" s="16">
        <v>1.15E-4</v>
      </c>
      <c r="P73" s="16">
        <v>1.15E-4</v>
      </c>
      <c r="Q73" s="313" t="s">
        <v>924</v>
      </c>
      <c r="R73" s="16">
        <v>0</v>
      </c>
      <c r="S73" s="16">
        <v>1.3300000000000001E-4</v>
      </c>
      <c r="T73" s="16">
        <v>1.3300000000000001E-4</v>
      </c>
    </row>
    <row r="74" spans="1:20" ht="39.950000000000003" customHeight="1" x14ac:dyDescent="0.25">
      <c r="A74" s="17" t="s">
        <v>641</v>
      </c>
      <c r="B74" s="18" t="s">
        <v>642</v>
      </c>
      <c r="C74" s="313" t="s">
        <v>432</v>
      </c>
      <c r="D74" s="313">
        <v>17030</v>
      </c>
      <c r="E74" s="313" t="s">
        <v>924</v>
      </c>
      <c r="F74" s="16">
        <v>0</v>
      </c>
      <c r="G74" s="16">
        <v>8.7000000000000001E-5</v>
      </c>
      <c r="H74" s="16">
        <v>8.7000000000000001E-5</v>
      </c>
      <c r="I74" s="313" t="s">
        <v>924</v>
      </c>
      <c r="J74" s="16">
        <v>0</v>
      </c>
      <c r="K74" s="16">
        <v>1.83E-4</v>
      </c>
      <c r="L74" s="16">
        <v>1.83E-4</v>
      </c>
      <c r="M74" s="313" t="s">
        <v>924</v>
      </c>
      <c r="N74" s="16">
        <v>0</v>
      </c>
      <c r="O74" s="16">
        <v>1.16E-4</v>
      </c>
      <c r="P74" s="16">
        <v>1.16E-4</v>
      </c>
      <c r="Q74" s="313" t="s">
        <v>924</v>
      </c>
      <c r="R74" s="16">
        <v>0</v>
      </c>
      <c r="S74" s="16">
        <v>1.34E-4</v>
      </c>
      <c r="T74" s="16">
        <v>1.34E-4</v>
      </c>
    </row>
    <row r="75" spans="1:20" ht="39.950000000000003" customHeight="1" x14ac:dyDescent="0.25">
      <c r="A75" s="17" t="s">
        <v>514</v>
      </c>
      <c r="B75" s="18" t="s">
        <v>643</v>
      </c>
      <c r="C75" s="313" t="s">
        <v>432</v>
      </c>
      <c r="D75" s="313">
        <v>17030</v>
      </c>
      <c r="E75" s="313" t="s">
        <v>924</v>
      </c>
      <c r="F75" s="16">
        <v>0</v>
      </c>
      <c r="G75" s="16">
        <v>8.8999999999999995E-5</v>
      </c>
      <c r="H75" s="16">
        <v>8.8999999999999995E-5</v>
      </c>
      <c r="I75" s="313" t="s">
        <v>924</v>
      </c>
      <c r="J75" s="16">
        <v>0</v>
      </c>
      <c r="K75" s="16">
        <v>1.8599999999999999E-4</v>
      </c>
      <c r="L75" s="16">
        <v>1.8599999999999999E-4</v>
      </c>
      <c r="M75" s="313" t="s">
        <v>924</v>
      </c>
      <c r="N75" s="16">
        <v>0</v>
      </c>
      <c r="O75" s="16">
        <v>1.1900000000000001E-4</v>
      </c>
      <c r="P75" s="16">
        <v>1.1900000000000001E-4</v>
      </c>
      <c r="Q75" s="313" t="s">
        <v>924</v>
      </c>
      <c r="R75" s="16">
        <v>0</v>
      </c>
      <c r="S75" s="16">
        <v>1.37E-4</v>
      </c>
      <c r="T75" s="16">
        <v>1.37E-4</v>
      </c>
    </row>
    <row r="76" spans="1:20" ht="39.950000000000003" customHeight="1" x14ac:dyDescent="0.25">
      <c r="A76" s="17" t="s">
        <v>451</v>
      </c>
      <c r="B76" s="18" t="s">
        <v>644</v>
      </c>
      <c r="C76" s="313" t="s">
        <v>432</v>
      </c>
      <c r="D76" s="313">
        <v>17030</v>
      </c>
      <c r="E76" s="313" t="s">
        <v>923</v>
      </c>
      <c r="F76" s="16">
        <v>1.24</v>
      </c>
      <c r="G76" s="16">
        <v>1.56</v>
      </c>
      <c r="H76" s="16">
        <v>1.56</v>
      </c>
      <c r="I76" s="313" t="s">
        <v>924</v>
      </c>
      <c r="J76" s="16">
        <v>0</v>
      </c>
      <c r="K76" s="16">
        <v>1.9799999999999999E-4</v>
      </c>
      <c r="L76" s="16">
        <v>1.9799999999999999E-4</v>
      </c>
      <c r="M76" s="313" t="s">
        <v>920</v>
      </c>
      <c r="N76" s="16">
        <v>0.84</v>
      </c>
      <c r="O76" s="16">
        <v>0.94</v>
      </c>
      <c r="P76" s="16">
        <v>0.94</v>
      </c>
      <c r="Q76" s="313" t="s">
        <v>924</v>
      </c>
      <c r="R76" s="16">
        <v>0</v>
      </c>
      <c r="S76" s="16">
        <v>1.47E-4</v>
      </c>
      <c r="T76" s="16">
        <v>1.47E-4</v>
      </c>
    </row>
    <row r="77" spans="1:20" ht="39.950000000000003" customHeight="1" x14ac:dyDescent="0.25">
      <c r="A77" s="17" t="s">
        <v>379</v>
      </c>
      <c r="B77" s="18" t="s">
        <v>645</v>
      </c>
      <c r="C77" s="313" t="s">
        <v>432</v>
      </c>
      <c r="D77" s="313">
        <v>17030</v>
      </c>
      <c r="E77" s="313" t="s">
        <v>924</v>
      </c>
      <c r="F77" s="16">
        <v>0</v>
      </c>
      <c r="G77" s="16">
        <v>9.5000000000000005E-5</v>
      </c>
      <c r="H77" s="16">
        <v>9.5000000000000005E-5</v>
      </c>
      <c r="I77" s="313" t="s">
        <v>924</v>
      </c>
      <c r="J77" s="16">
        <v>0</v>
      </c>
      <c r="K77" s="16">
        <v>2.0100000000000001E-4</v>
      </c>
      <c r="L77" s="16">
        <v>2.0100000000000001E-4</v>
      </c>
      <c r="M77" s="313" t="s">
        <v>924</v>
      </c>
      <c r="N77" s="16">
        <v>0</v>
      </c>
      <c r="O77" s="16">
        <v>1.3100000000000001E-4</v>
      </c>
      <c r="P77" s="16">
        <v>1.3100000000000001E-4</v>
      </c>
      <c r="Q77" s="313" t="s">
        <v>924</v>
      </c>
      <c r="R77" s="16">
        <v>0</v>
      </c>
      <c r="S77" s="16">
        <v>1.4999999999999999E-4</v>
      </c>
      <c r="T77" s="16">
        <v>1.4999999999999999E-4</v>
      </c>
    </row>
    <row r="78" spans="1:20" ht="39.950000000000003" customHeight="1" x14ac:dyDescent="0.25">
      <c r="A78" s="313" t="s">
        <v>646</v>
      </c>
      <c r="B78" s="18" t="s">
        <v>647</v>
      </c>
      <c r="C78" s="313" t="s">
        <v>432</v>
      </c>
      <c r="D78" s="313">
        <v>17030</v>
      </c>
      <c r="E78" s="313" t="s">
        <v>924</v>
      </c>
      <c r="F78" s="16">
        <v>0</v>
      </c>
      <c r="G78" s="16">
        <v>1E-4</v>
      </c>
      <c r="H78" s="16">
        <v>1E-4</v>
      </c>
      <c r="I78" s="313" t="s">
        <v>924</v>
      </c>
      <c r="J78" s="16">
        <v>0</v>
      </c>
      <c r="K78" s="16">
        <v>2.0599999999999999E-4</v>
      </c>
      <c r="L78" s="16">
        <v>2.0599999999999999E-4</v>
      </c>
      <c r="M78" s="313" t="s">
        <v>924</v>
      </c>
      <c r="N78" s="16">
        <v>0</v>
      </c>
      <c r="O78" s="16">
        <v>1.37E-4</v>
      </c>
      <c r="P78" s="16">
        <v>1.37E-4</v>
      </c>
      <c r="Q78" s="313" t="s">
        <v>921</v>
      </c>
      <c r="R78" s="16">
        <v>0.17399999999999999</v>
      </c>
      <c r="S78" s="16">
        <v>0.20300000000000001</v>
      </c>
      <c r="T78" s="16">
        <v>0.20300000000000001</v>
      </c>
    </row>
    <row r="79" spans="1:20" ht="39.950000000000003" customHeight="1" x14ac:dyDescent="0.25">
      <c r="A79" s="313" t="s">
        <v>515</v>
      </c>
      <c r="B79" s="18" t="s">
        <v>648</v>
      </c>
      <c r="C79" s="313" t="s">
        <v>432</v>
      </c>
      <c r="D79" s="313">
        <v>17030</v>
      </c>
      <c r="E79" s="313" t="s">
        <v>924</v>
      </c>
      <c r="F79" s="16">
        <v>0</v>
      </c>
      <c r="G79" s="16">
        <v>1.01E-4</v>
      </c>
      <c r="H79" s="16">
        <v>1.01E-4</v>
      </c>
      <c r="I79" s="313" t="s">
        <v>924</v>
      </c>
      <c r="J79" s="16">
        <v>0</v>
      </c>
      <c r="K79" s="16">
        <v>2.0699999999999999E-4</v>
      </c>
      <c r="L79" s="16">
        <v>2.0699999999999999E-4</v>
      </c>
      <c r="M79" s="313" t="s">
        <v>924</v>
      </c>
      <c r="N79" s="16">
        <v>0</v>
      </c>
      <c r="O79" s="16">
        <v>1.3799999999999999E-4</v>
      </c>
      <c r="P79" s="16">
        <v>1.3799999999999999E-4</v>
      </c>
      <c r="Q79" s="313" t="s">
        <v>924</v>
      </c>
      <c r="R79" s="16">
        <v>0</v>
      </c>
      <c r="S79" s="16">
        <v>1.56E-4</v>
      </c>
      <c r="T79" s="16">
        <v>1.56E-4</v>
      </c>
    </row>
    <row r="80" spans="1:20" ht="39.950000000000003" customHeight="1" x14ac:dyDescent="0.25">
      <c r="A80" s="17" t="s">
        <v>546</v>
      </c>
      <c r="B80" s="18" t="s">
        <v>650</v>
      </c>
      <c r="C80" s="313" t="s">
        <v>432</v>
      </c>
      <c r="D80" s="313">
        <v>17030</v>
      </c>
      <c r="E80" s="313" t="s">
        <v>926</v>
      </c>
      <c r="F80" s="16">
        <v>0.55000000000000004</v>
      </c>
      <c r="G80" s="16">
        <v>0.69000499999999998</v>
      </c>
      <c r="H80" s="16">
        <v>0.69000499999999998</v>
      </c>
      <c r="I80" s="313" t="s">
        <v>924</v>
      </c>
      <c r="J80" s="16">
        <v>0</v>
      </c>
      <c r="K80" s="16">
        <v>2.2599999999999999E-4</v>
      </c>
      <c r="L80" s="16">
        <v>2.2599999999999999E-4</v>
      </c>
      <c r="M80" s="313" t="s">
        <v>924</v>
      </c>
      <c r="N80" s="16">
        <v>0</v>
      </c>
      <c r="O80" s="16">
        <v>1.5100000000000001E-4</v>
      </c>
      <c r="P80" s="16">
        <v>1.5100000000000001E-4</v>
      </c>
      <c r="Q80" s="313" t="s">
        <v>924</v>
      </c>
      <c r="R80" s="16">
        <v>0</v>
      </c>
      <c r="S80" s="16">
        <v>1.7100000000000001E-4</v>
      </c>
      <c r="T80" s="16">
        <v>1.7100000000000001E-4</v>
      </c>
    </row>
    <row r="81" spans="1:20" ht="39.950000000000003" customHeight="1" x14ac:dyDescent="0.25">
      <c r="A81" s="313" t="s">
        <v>268</v>
      </c>
      <c r="B81" s="18" t="s">
        <v>651</v>
      </c>
      <c r="C81" s="313" t="s">
        <v>432</v>
      </c>
      <c r="D81" s="313">
        <v>17030</v>
      </c>
      <c r="E81" s="313" t="s">
        <v>921</v>
      </c>
      <c r="F81" s="16">
        <v>4.45</v>
      </c>
      <c r="G81" s="16">
        <v>5.57</v>
      </c>
      <c r="H81" s="16">
        <v>5.57</v>
      </c>
      <c r="I81" s="313" t="s">
        <v>924</v>
      </c>
      <c r="J81" s="16">
        <v>0</v>
      </c>
      <c r="K81" s="16">
        <v>2.2900000000000001E-4</v>
      </c>
      <c r="L81" s="16">
        <v>2.2900000000000001E-4</v>
      </c>
      <c r="M81" s="313" t="s">
        <v>921</v>
      </c>
      <c r="N81" s="16">
        <v>1.36</v>
      </c>
      <c r="O81" s="16">
        <v>1.53</v>
      </c>
      <c r="P81" s="16">
        <v>1.53</v>
      </c>
      <c r="Q81" s="313" t="s">
        <v>924</v>
      </c>
      <c r="R81" s="16">
        <v>0</v>
      </c>
      <c r="S81" s="16">
        <v>1.73E-4</v>
      </c>
      <c r="T81" s="16">
        <v>1.73E-4</v>
      </c>
    </row>
    <row r="82" spans="1:20" ht="39.950000000000003" customHeight="1" x14ac:dyDescent="0.25">
      <c r="A82" s="17" t="s">
        <v>381</v>
      </c>
      <c r="B82" s="18" t="s">
        <v>652</v>
      </c>
      <c r="C82" s="313" t="s">
        <v>432</v>
      </c>
      <c r="D82" s="313">
        <v>17030</v>
      </c>
      <c r="E82" s="313" t="s">
        <v>920</v>
      </c>
      <c r="F82" s="16">
        <v>2.29</v>
      </c>
      <c r="G82" s="16">
        <v>2.86</v>
      </c>
      <c r="H82" s="16">
        <v>2.86</v>
      </c>
      <c r="I82" s="313" t="s">
        <v>921</v>
      </c>
      <c r="J82" s="16">
        <v>0</v>
      </c>
      <c r="K82" s="16">
        <v>2.657</v>
      </c>
      <c r="L82" s="16">
        <v>2.657</v>
      </c>
      <c r="M82" s="313" t="s">
        <v>921</v>
      </c>
      <c r="N82" s="16">
        <v>1.18</v>
      </c>
      <c r="O82" s="16">
        <v>1.33</v>
      </c>
      <c r="P82" s="16">
        <v>1.33</v>
      </c>
      <c r="Q82" s="313" t="s">
        <v>924</v>
      </c>
      <c r="R82" s="16">
        <v>0</v>
      </c>
      <c r="S82" s="16">
        <v>1.74E-4</v>
      </c>
      <c r="T82" s="16">
        <v>1.74E-4</v>
      </c>
    </row>
    <row r="83" spans="1:20" ht="39.950000000000003" customHeight="1" x14ac:dyDescent="0.25">
      <c r="A83" s="313" t="s">
        <v>454</v>
      </c>
      <c r="B83" s="18" t="s">
        <v>653</v>
      </c>
      <c r="C83" s="313" t="s">
        <v>432</v>
      </c>
      <c r="D83" s="313">
        <v>17030</v>
      </c>
      <c r="E83" s="313" t="s">
        <v>926</v>
      </c>
      <c r="F83" s="16">
        <v>0.68</v>
      </c>
      <c r="G83" s="16">
        <v>0.85</v>
      </c>
      <c r="H83" s="16">
        <v>0.85</v>
      </c>
      <c r="I83" s="313" t="s">
        <v>924</v>
      </c>
      <c r="J83" s="16">
        <v>0</v>
      </c>
      <c r="K83" s="16">
        <v>2.42E-4</v>
      </c>
      <c r="L83" s="16">
        <v>2.42E-4</v>
      </c>
      <c r="M83" s="313" t="s">
        <v>924</v>
      </c>
      <c r="N83" s="16">
        <v>0</v>
      </c>
      <c r="O83" s="16">
        <v>1.6100000000000001E-4</v>
      </c>
      <c r="P83" s="16">
        <v>1.6100000000000001E-4</v>
      </c>
      <c r="Q83" s="313" t="s">
        <v>924</v>
      </c>
      <c r="R83" s="16">
        <v>0</v>
      </c>
      <c r="S83" s="16">
        <v>1.84E-4</v>
      </c>
      <c r="T83" s="16">
        <v>1.84E-4</v>
      </c>
    </row>
    <row r="84" spans="1:20" ht="39.950000000000003" customHeight="1" x14ac:dyDescent="0.25">
      <c r="A84" s="17" t="s">
        <v>654</v>
      </c>
      <c r="B84" s="18" t="s">
        <v>655</v>
      </c>
      <c r="C84" s="313" t="s">
        <v>432</v>
      </c>
      <c r="D84" s="313">
        <v>17030</v>
      </c>
      <c r="E84" s="313" t="s">
        <v>924</v>
      </c>
      <c r="F84" s="16">
        <v>0</v>
      </c>
      <c r="G84" s="16">
        <v>1.1900000000000001E-4</v>
      </c>
      <c r="H84" s="16">
        <v>1.1900000000000001E-4</v>
      </c>
      <c r="I84" s="313" t="s">
        <v>924</v>
      </c>
      <c r="J84" s="16">
        <v>0</v>
      </c>
      <c r="K84" s="16">
        <v>2.43E-4</v>
      </c>
      <c r="L84" s="16">
        <v>2.43E-4</v>
      </c>
      <c r="M84" s="313" t="s">
        <v>924</v>
      </c>
      <c r="N84" s="16">
        <v>0</v>
      </c>
      <c r="O84" s="16">
        <v>1.6200000000000001E-4</v>
      </c>
      <c r="P84" s="16">
        <v>1.6200000000000001E-4</v>
      </c>
      <c r="Q84" s="313" t="s">
        <v>924</v>
      </c>
      <c r="R84" s="16">
        <v>0</v>
      </c>
      <c r="S84" s="16">
        <v>1.85E-4</v>
      </c>
      <c r="T84" s="16">
        <v>1.85E-4</v>
      </c>
    </row>
    <row r="85" spans="1:20" ht="39.950000000000003" customHeight="1" x14ac:dyDescent="0.25">
      <c r="A85" s="17" t="s">
        <v>549</v>
      </c>
      <c r="B85" s="18" t="s">
        <v>656</v>
      </c>
      <c r="C85" s="313" t="s">
        <v>434</v>
      </c>
      <c r="D85" s="313">
        <v>17040</v>
      </c>
      <c r="E85" s="313" t="s">
        <v>923</v>
      </c>
      <c r="F85" s="16">
        <v>1</v>
      </c>
      <c r="G85" s="16">
        <v>1.2500009999999999</v>
      </c>
      <c r="H85" s="16">
        <v>1.2500009999999999</v>
      </c>
      <c r="I85" s="313" t="s">
        <v>924</v>
      </c>
      <c r="J85" s="16">
        <v>0</v>
      </c>
      <c r="K85" s="16">
        <v>6.9999999999999999E-6</v>
      </c>
      <c r="L85" s="16">
        <v>6.9999999999999999E-6</v>
      </c>
      <c r="M85" s="313" t="s">
        <v>924</v>
      </c>
      <c r="N85" s="16">
        <v>0</v>
      </c>
      <c r="O85" s="16">
        <v>5.0000000000000004E-6</v>
      </c>
      <c r="P85" s="16">
        <v>5.0000000000000004E-6</v>
      </c>
      <c r="Q85" s="313" t="s">
        <v>924</v>
      </c>
      <c r="R85" s="16">
        <v>0</v>
      </c>
      <c r="S85" s="16">
        <v>5.0000000000000004E-6</v>
      </c>
      <c r="T85" s="16">
        <v>5.0000000000000004E-6</v>
      </c>
    </row>
    <row r="86" spans="1:20" ht="39.950000000000003" customHeight="1" x14ac:dyDescent="0.25">
      <c r="A86" s="17" t="s">
        <v>555</v>
      </c>
      <c r="B86" s="18" t="s">
        <v>657</v>
      </c>
      <c r="C86" s="313" t="s">
        <v>434</v>
      </c>
      <c r="D86" s="313">
        <v>17040</v>
      </c>
      <c r="E86" s="313" t="s">
        <v>923</v>
      </c>
      <c r="F86" s="16">
        <v>1.19</v>
      </c>
      <c r="G86" s="16">
        <v>1.4900009999999999</v>
      </c>
      <c r="H86" s="16">
        <v>1.4900009999999999</v>
      </c>
      <c r="I86" s="313" t="s">
        <v>924</v>
      </c>
      <c r="J86" s="16">
        <v>0</v>
      </c>
      <c r="K86" s="16">
        <v>3.4E-5</v>
      </c>
      <c r="L86" s="16">
        <v>3.4E-5</v>
      </c>
      <c r="M86" s="313" t="s">
        <v>921</v>
      </c>
      <c r="N86" s="16">
        <v>1.03</v>
      </c>
      <c r="O86" s="16">
        <v>1.1600010000000001</v>
      </c>
      <c r="P86" s="16">
        <v>1.1600010000000001</v>
      </c>
      <c r="Q86" s="313" t="s">
        <v>924</v>
      </c>
      <c r="R86" s="16">
        <v>0</v>
      </c>
      <c r="S86" s="16">
        <v>2.5000000000000001E-5</v>
      </c>
      <c r="T86" s="16">
        <v>2.5000000000000001E-5</v>
      </c>
    </row>
    <row r="87" spans="1:20" ht="39.950000000000003" customHeight="1" x14ac:dyDescent="0.25">
      <c r="A87" s="17" t="s">
        <v>930</v>
      </c>
      <c r="B87" s="18" t="s">
        <v>931</v>
      </c>
      <c r="C87" s="313" t="s">
        <v>434</v>
      </c>
      <c r="D87" s="313">
        <v>17040</v>
      </c>
      <c r="E87" s="313" t="s">
        <v>920</v>
      </c>
      <c r="F87" s="16">
        <v>2.0099999999999998</v>
      </c>
      <c r="G87" s="16">
        <v>2.5099999999999998</v>
      </c>
      <c r="H87" s="16">
        <v>2.5099999999999998</v>
      </c>
      <c r="I87" s="313" t="s">
        <v>921</v>
      </c>
      <c r="J87" s="16">
        <v>1.63</v>
      </c>
      <c r="K87" s="16">
        <v>2.04</v>
      </c>
      <c r="L87" s="16">
        <v>2.04</v>
      </c>
      <c r="M87" s="313" t="s">
        <v>921</v>
      </c>
      <c r="N87" s="16">
        <v>1.07</v>
      </c>
      <c r="O87" s="16">
        <v>1.200002</v>
      </c>
      <c r="P87" s="16">
        <v>1.200002</v>
      </c>
      <c r="Q87" s="313" t="s">
        <v>921</v>
      </c>
      <c r="R87" s="16">
        <v>0.246</v>
      </c>
      <c r="S87" s="16">
        <v>0.28599999999999998</v>
      </c>
      <c r="T87" s="16">
        <v>0.28599999999999998</v>
      </c>
    </row>
    <row r="88" spans="1:20" ht="39.950000000000003" customHeight="1" x14ac:dyDescent="0.25">
      <c r="A88" s="17" t="s">
        <v>385</v>
      </c>
      <c r="B88" s="18" t="s">
        <v>658</v>
      </c>
      <c r="C88" s="313" t="s">
        <v>434</v>
      </c>
      <c r="D88" s="313">
        <v>17040</v>
      </c>
      <c r="E88" s="313" t="s">
        <v>926</v>
      </c>
      <c r="F88" s="16">
        <v>0.65</v>
      </c>
      <c r="G88" s="16">
        <v>0.81000099999999997</v>
      </c>
      <c r="H88" s="16">
        <v>0.81000099999999997</v>
      </c>
      <c r="I88" s="313" t="s">
        <v>924</v>
      </c>
      <c r="J88" s="16">
        <v>0</v>
      </c>
      <c r="K88" s="16">
        <v>6.7000000000000002E-5</v>
      </c>
      <c r="L88" s="16">
        <v>6.7000000000000002E-5</v>
      </c>
      <c r="M88" s="313" t="s">
        <v>920</v>
      </c>
      <c r="N88" s="16">
        <v>0.63</v>
      </c>
      <c r="O88" s="16">
        <v>0.71000099999999999</v>
      </c>
      <c r="P88" s="16">
        <v>0.71000099999999999</v>
      </c>
      <c r="Q88" s="313" t="s">
        <v>921</v>
      </c>
      <c r="R88" s="16">
        <v>0.20699999999999999</v>
      </c>
      <c r="S88" s="16">
        <v>0.24099999999999999</v>
      </c>
      <c r="T88" s="16">
        <v>0.24099999999999999</v>
      </c>
    </row>
    <row r="89" spans="1:20" ht="39.950000000000003" customHeight="1" x14ac:dyDescent="0.25">
      <c r="A89" s="313" t="s">
        <v>332</v>
      </c>
      <c r="B89" s="18" t="s">
        <v>659</v>
      </c>
      <c r="C89" s="313" t="s">
        <v>434</v>
      </c>
      <c r="D89" s="313">
        <v>17040</v>
      </c>
      <c r="E89" s="313" t="s">
        <v>920</v>
      </c>
      <c r="F89" s="16">
        <v>1.3</v>
      </c>
      <c r="G89" s="16">
        <v>1.63</v>
      </c>
      <c r="H89" s="16">
        <v>1.63</v>
      </c>
      <c r="I89" s="313" t="s">
        <v>924</v>
      </c>
      <c r="J89" s="16">
        <v>0</v>
      </c>
      <c r="K89" s="16">
        <v>6.7999999999999999E-5</v>
      </c>
      <c r="L89" s="16">
        <v>6.7999999999999999E-5</v>
      </c>
      <c r="M89" s="313" t="s">
        <v>921</v>
      </c>
      <c r="N89" s="16">
        <v>0.95</v>
      </c>
      <c r="O89" s="16">
        <v>1.070001</v>
      </c>
      <c r="P89" s="16">
        <v>1.070001</v>
      </c>
      <c r="Q89" s="313" t="s">
        <v>922</v>
      </c>
      <c r="R89" s="16">
        <v>0.41299999999999998</v>
      </c>
      <c r="S89" s="16">
        <v>0.48</v>
      </c>
      <c r="T89" s="16">
        <v>0.48</v>
      </c>
    </row>
    <row r="90" spans="1:20" ht="39.950000000000003" customHeight="1" x14ac:dyDescent="0.25">
      <c r="A90" s="313" t="s">
        <v>326</v>
      </c>
      <c r="B90" s="18" t="s">
        <v>660</v>
      </c>
      <c r="C90" s="313" t="s">
        <v>434</v>
      </c>
      <c r="D90" s="313">
        <v>17040</v>
      </c>
      <c r="E90" s="313" t="s">
        <v>923</v>
      </c>
      <c r="F90" s="16">
        <v>0.98</v>
      </c>
      <c r="G90" s="16">
        <v>1.2200009999999999</v>
      </c>
      <c r="H90" s="16">
        <v>1.2200009999999999</v>
      </c>
      <c r="I90" s="313" t="s">
        <v>924</v>
      </c>
      <c r="J90" s="16">
        <v>0</v>
      </c>
      <c r="K90" s="16">
        <v>8.3999999999999995E-5</v>
      </c>
      <c r="L90" s="16">
        <v>8.3999999999999995E-5</v>
      </c>
      <c r="M90" s="313" t="s">
        <v>920</v>
      </c>
      <c r="N90" s="16">
        <v>0.61</v>
      </c>
      <c r="O90" s="16">
        <v>0.690002</v>
      </c>
      <c r="P90" s="16">
        <v>0.690002</v>
      </c>
      <c r="Q90" s="313" t="s">
        <v>920</v>
      </c>
      <c r="R90" s="16">
        <v>0.18</v>
      </c>
      <c r="S90" s="16">
        <v>0.21</v>
      </c>
      <c r="T90" s="16">
        <v>0.21</v>
      </c>
    </row>
    <row r="91" spans="1:20" ht="39.950000000000003" customHeight="1" x14ac:dyDescent="0.25">
      <c r="A91" s="313" t="s">
        <v>295</v>
      </c>
      <c r="B91" s="18" t="s">
        <v>661</v>
      </c>
      <c r="C91" s="313" t="s">
        <v>434</v>
      </c>
      <c r="D91" s="313">
        <v>17040</v>
      </c>
      <c r="E91" s="313" t="s">
        <v>923</v>
      </c>
      <c r="F91" s="16">
        <v>1.1299999999999999</v>
      </c>
      <c r="G91" s="16">
        <v>1.410002</v>
      </c>
      <c r="H91" s="16">
        <v>1.410002</v>
      </c>
      <c r="I91" s="313" t="s">
        <v>924</v>
      </c>
      <c r="J91" s="16">
        <v>0</v>
      </c>
      <c r="K91" s="16">
        <v>9.6000000000000002E-5</v>
      </c>
      <c r="L91" s="16">
        <v>9.6000000000000002E-5</v>
      </c>
      <c r="M91" s="313" t="s">
        <v>920</v>
      </c>
      <c r="N91" s="16">
        <v>0.61</v>
      </c>
      <c r="O91" s="16">
        <v>0.69000300000000003</v>
      </c>
      <c r="P91" s="16">
        <v>0.69000300000000003</v>
      </c>
      <c r="Q91" s="313" t="s">
        <v>920</v>
      </c>
      <c r="R91" s="16">
        <v>0.20799999999999999</v>
      </c>
      <c r="S91" s="16">
        <v>0.24099999999999999</v>
      </c>
      <c r="T91" s="16">
        <v>0.24099999999999999</v>
      </c>
    </row>
    <row r="92" spans="1:20" ht="39.950000000000003" customHeight="1" x14ac:dyDescent="0.25">
      <c r="A92" s="313" t="s">
        <v>547</v>
      </c>
      <c r="B92" s="18" t="s">
        <v>662</v>
      </c>
      <c r="C92" s="313" t="s">
        <v>434</v>
      </c>
      <c r="D92" s="313">
        <v>17040</v>
      </c>
      <c r="E92" s="313" t="s">
        <v>923</v>
      </c>
      <c r="F92" s="16">
        <v>1.07</v>
      </c>
      <c r="G92" s="16">
        <v>1.330001</v>
      </c>
      <c r="H92" s="16">
        <v>1.330001</v>
      </c>
      <c r="I92" s="313" t="s">
        <v>924</v>
      </c>
      <c r="J92" s="16">
        <v>0</v>
      </c>
      <c r="K92" s="16">
        <v>9.8999999999999994E-5</v>
      </c>
      <c r="L92" s="16">
        <v>9.8999999999999994E-5</v>
      </c>
      <c r="M92" s="313" t="s">
        <v>924</v>
      </c>
      <c r="N92" s="16">
        <v>0</v>
      </c>
      <c r="O92" s="16">
        <v>6.2000000000000003E-5</v>
      </c>
      <c r="P92" s="16">
        <v>6.2000000000000003E-5</v>
      </c>
      <c r="Q92" s="313" t="s">
        <v>924</v>
      </c>
      <c r="R92" s="16">
        <v>0</v>
      </c>
      <c r="S92" s="16">
        <v>6.6000000000000005E-5</v>
      </c>
      <c r="T92" s="16">
        <v>6.6000000000000005E-5</v>
      </c>
    </row>
    <row r="93" spans="1:20" ht="39.950000000000003" customHeight="1" x14ac:dyDescent="0.25">
      <c r="A93" s="17" t="s">
        <v>469</v>
      </c>
      <c r="B93" s="18" t="s">
        <v>663</v>
      </c>
      <c r="C93" s="313" t="s">
        <v>434</v>
      </c>
      <c r="D93" s="313">
        <v>17040</v>
      </c>
      <c r="E93" s="313" t="s">
        <v>923</v>
      </c>
      <c r="F93" s="16">
        <v>1.07</v>
      </c>
      <c r="G93" s="16">
        <v>1.33</v>
      </c>
      <c r="H93" s="16">
        <v>1.33</v>
      </c>
      <c r="I93" s="313" t="s">
        <v>924</v>
      </c>
      <c r="J93" s="16">
        <v>0</v>
      </c>
      <c r="K93" s="16">
        <v>1.06E-4</v>
      </c>
      <c r="L93" s="16">
        <v>1.06E-4</v>
      </c>
      <c r="M93" s="313" t="s">
        <v>920</v>
      </c>
      <c r="N93" s="16">
        <v>0.67</v>
      </c>
      <c r="O93" s="16">
        <v>0.75</v>
      </c>
      <c r="P93" s="16">
        <v>0.75</v>
      </c>
      <c r="Q93" s="313" t="s">
        <v>920</v>
      </c>
      <c r="R93" s="16">
        <v>0.19700000000000001</v>
      </c>
      <c r="S93" s="16">
        <v>0.22900000000000001</v>
      </c>
      <c r="T93" s="16">
        <v>0.22900000000000001</v>
      </c>
    </row>
    <row r="94" spans="1:20" ht="39.950000000000003" customHeight="1" x14ac:dyDescent="0.25">
      <c r="A94" s="17" t="s">
        <v>277</v>
      </c>
      <c r="B94" s="18" t="s">
        <v>664</v>
      </c>
      <c r="C94" s="313" t="s">
        <v>434</v>
      </c>
      <c r="D94" s="313">
        <v>17040</v>
      </c>
      <c r="E94" s="313" t="s">
        <v>920</v>
      </c>
      <c r="F94" s="16">
        <v>2.19</v>
      </c>
      <c r="G94" s="16">
        <v>2.7400009999999999</v>
      </c>
      <c r="H94" s="16">
        <v>2.7400009999999999</v>
      </c>
      <c r="I94" s="313" t="s">
        <v>921</v>
      </c>
      <c r="J94" s="16">
        <v>1.34</v>
      </c>
      <c r="K94" s="16">
        <v>1.68</v>
      </c>
      <c r="L94" s="16">
        <v>1.68</v>
      </c>
      <c r="M94" s="313" t="s">
        <v>921</v>
      </c>
      <c r="N94" s="16">
        <v>0.97</v>
      </c>
      <c r="O94" s="16">
        <v>1.0900019999999999</v>
      </c>
      <c r="P94" s="16">
        <v>1.0900019999999999</v>
      </c>
      <c r="Q94" s="313" t="s">
        <v>921</v>
      </c>
      <c r="R94" s="16">
        <v>0.26500000000000001</v>
      </c>
      <c r="S94" s="16">
        <v>0.308</v>
      </c>
      <c r="T94" s="16">
        <v>0.308</v>
      </c>
    </row>
    <row r="95" spans="1:20" ht="39.950000000000003" customHeight="1" x14ac:dyDescent="0.25">
      <c r="A95" s="313" t="s">
        <v>316</v>
      </c>
      <c r="B95" s="18" t="s">
        <v>665</v>
      </c>
      <c r="C95" s="313" t="s">
        <v>434</v>
      </c>
      <c r="D95" s="313">
        <v>17040</v>
      </c>
      <c r="E95" s="313" t="s">
        <v>923</v>
      </c>
      <c r="F95" s="16">
        <v>1.47</v>
      </c>
      <c r="G95" s="16">
        <v>1.83</v>
      </c>
      <c r="H95" s="16">
        <v>1.83</v>
      </c>
      <c r="I95" s="313" t="s">
        <v>921</v>
      </c>
      <c r="J95" s="16">
        <v>1.4</v>
      </c>
      <c r="K95" s="16">
        <v>1.75</v>
      </c>
      <c r="L95" s="16">
        <v>1.75</v>
      </c>
      <c r="M95" s="313" t="s">
        <v>921</v>
      </c>
      <c r="N95" s="16">
        <v>0.93</v>
      </c>
      <c r="O95" s="16">
        <v>1.05</v>
      </c>
      <c r="P95" s="16">
        <v>1.05</v>
      </c>
      <c r="Q95" s="313" t="s">
        <v>921</v>
      </c>
      <c r="R95" s="16">
        <v>0.27500000000000002</v>
      </c>
      <c r="S95" s="16">
        <v>0.32</v>
      </c>
      <c r="T95" s="16">
        <v>0.32</v>
      </c>
    </row>
    <row r="96" spans="1:20" ht="39.950000000000003" customHeight="1" x14ac:dyDescent="0.25">
      <c r="A96" s="17" t="s">
        <v>317</v>
      </c>
      <c r="B96" s="18" t="s">
        <v>666</v>
      </c>
      <c r="C96" s="313" t="s">
        <v>434</v>
      </c>
      <c r="D96" s="313">
        <v>17040</v>
      </c>
      <c r="E96" s="313" t="s">
        <v>923</v>
      </c>
      <c r="F96" s="16">
        <v>1.1299999999999999</v>
      </c>
      <c r="G96" s="16">
        <v>1.41</v>
      </c>
      <c r="H96" s="16">
        <v>1.41</v>
      </c>
      <c r="I96" s="313" t="s">
        <v>921</v>
      </c>
      <c r="J96" s="16">
        <v>0.99</v>
      </c>
      <c r="K96" s="16">
        <v>1.24</v>
      </c>
      <c r="L96" s="16">
        <v>1.24</v>
      </c>
      <c r="M96" s="313" t="s">
        <v>920</v>
      </c>
      <c r="N96" s="16">
        <v>0.62</v>
      </c>
      <c r="O96" s="16">
        <v>0.7</v>
      </c>
      <c r="P96" s="16">
        <v>0.7</v>
      </c>
      <c r="Q96" s="313" t="s">
        <v>920</v>
      </c>
      <c r="R96" s="16">
        <v>0.20899999999999999</v>
      </c>
      <c r="S96" s="16">
        <v>0.24399999999999999</v>
      </c>
      <c r="T96" s="16">
        <v>0.24399999999999999</v>
      </c>
    </row>
    <row r="97" spans="1:20" ht="39.950000000000003" customHeight="1" x14ac:dyDescent="0.25">
      <c r="A97" s="17" t="s">
        <v>550</v>
      </c>
      <c r="B97" s="18" t="s">
        <v>667</v>
      </c>
      <c r="C97" s="313" t="s">
        <v>434</v>
      </c>
      <c r="D97" s="313">
        <v>17040</v>
      </c>
      <c r="E97" s="313" t="s">
        <v>926</v>
      </c>
      <c r="F97" s="16">
        <v>0.69</v>
      </c>
      <c r="G97" s="16">
        <v>0.87</v>
      </c>
      <c r="H97" s="16">
        <v>0.87</v>
      </c>
      <c r="I97" s="313" t="s">
        <v>924</v>
      </c>
      <c r="J97" s="16">
        <v>0</v>
      </c>
      <c r="K97" s="16">
        <v>2.4399999999999999E-4</v>
      </c>
      <c r="L97" s="16">
        <v>2.4399999999999999E-4</v>
      </c>
      <c r="M97" s="313" t="s">
        <v>920</v>
      </c>
      <c r="N97" s="16">
        <v>0.47</v>
      </c>
      <c r="O97" s="16">
        <v>0.53</v>
      </c>
      <c r="P97" s="16">
        <v>0.53</v>
      </c>
      <c r="Q97" s="313" t="s">
        <v>924</v>
      </c>
      <c r="R97" s="16">
        <v>0</v>
      </c>
      <c r="S97" s="16">
        <v>1.8699999999999999E-4</v>
      </c>
      <c r="T97" s="16">
        <v>1.8699999999999999E-4</v>
      </c>
    </row>
    <row r="98" spans="1:20" ht="39.950000000000003" customHeight="1" x14ac:dyDescent="0.25">
      <c r="A98" s="313" t="s">
        <v>439</v>
      </c>
      <c r="B98" s="18" t="s">
        <v>668</v>
      </c>
      <c r="C98" s="313" t="s">
        <v>431</v>
      </c>
      <c r="D98" s="313">
        <v>17039</v>
      </c>
      <c r="E98" s="313" t="s">
        <v>926</v>
      </c>
      <c r="F98" s="16">
        <v>0.53</v>
      </c>
      <c r="G98" s="16">
        <v>0.66</v>
      </c>
      <c r="H98" s="16">
        <v>0.66</v>
      </c>
      <c r="I98" s="313" t="s">
        <v>924</v>
      </c>
      <c r="J98" s="16">
        <v>0</v>
      </c>
      <c r="K98" s="16">
        <v>9.9999999999999995E-7</v>
      </c>
      <c r="L98" s="16">
        <v>9.9999999999999995E-7</v>
      </c>
      <c r="M98" s="313" t="s">
        <v>920</v>
      </c>
      <c r="N98" s="16">
        <v>0.46</v>
      </c>
      <c r="O98" s="16">
        <v>0.52000100000000005</v>
      </c>
      <c r="P98" s="16">
        <v>0.52000100000000005</v>
      </c>
      <c r="Q98" s="313" t="s">
        <v>920</v>
      </c>
      <c r="R98" s="16">
        <v>0.126</v>
      </c>
      <c r="S98" s="16">
        <v>0.14599999999999999</v>
      </c>
      <c r="T98" s="16">
        <v>0.14599999999999999</v>
      </c>
    </row>
    <row r="99" spans="1:20" ht="39.950000000000003" customHeight="1" x14ac:dyDescent="0.25">
      <c r="A99" s="17" t="s">
        <v>292</v>
      </c>
      <c r="B99" s="18" t="s">
        <v>669</v>
      </c>
      <c r="C99" s="313" t="s">
        <v>431</v>
      </c>
      <c r="D99" s="313">
        <v>17039</v>
      </c>
      <c r="E99" s="313" t="s">
        <v>923</v>
      </c>
      <c r="F99" s="16">
        <v>1.5</v>
      </c>
      <c r="G99" s="16">
        <v>1.87</v>
      </c>
      <c r="H99" s="16">
        <v>1.87</v>
      </c>
      <c r="I99" s="313" t="s">
        <v>924</v>
      </c>
      <c r="J99" s="16">
        <v>0</v>
      </c>
      <c r="K99" s="16">
        <v>1.9999999999999999E-6</v>
      </c>
      <c r="L99" s="16">
        <v>1.9999999999999999E-6</v>
      </c>
      <c r="M99" s="313" t="s">
        <v>924</v>
      </c>
      <c r="N99" s="16">
        <v>0</v>
      </c>
      <c r="O99" s="16">
        <v>9.9999999999999995E-7</v>
      </c>
      <c r="P99" s="16">
        <v>9.9999999999999995E-7</v>
      </c>
      <c r="Q99" s="313" t="s">
        <v>924</v>
      </c>
      <c r="R99" s="16">
        <v>0</v>
      </c>
      <c r="S99" s="16">
        <v>9.9999999999999995E-7</v>
      </c>
      <c r="T99" s="16">
        <v>9.9999999999999995E-7</v>
      </c>
    </row>
    <row r="100" spans="1:20" ht="39.950000000000003" customHeight="1" x14ac:dyDescent="0.25">
      <c r="A100" s="17" t="s">
        <v>460</v>
      </c>
      <c r="B100" s="18" t="s">
        <v>670</v>
      </c>
      <c r="C100" s="313" t="s">
        <v>431</v>
      </c>
      <c r="D100" s="313">
        <v>17039</v>
      </c>
      <c r="E100" s="313" t="s">
        <v>926</v>
      </c>
      <c r="F100" s="16">
        <v>0</v>
      </c>
      <c r="G100" s="16">
        <v>0.62</v>
      </c>
      <c r="H100" s="16">
        <v>0.62</v>
      </c>
      <c r="I100" s="313" t="s">
        <v>924</v>
      </c>
      <c r="J100" s="16">
        <v>0</v>
      </c>
      <c r="K100" s="16">
        <v>3.0000000000000001E-6</v>
      </c>
      <c r="L100" s="16">
        <v>3.0000000000000001E-6</v>
      </c>
      <c r="M100" s="313" t="s">
        <v>924</v>
      </c>
      <c r="N100" s="16">
        <v>0</v>
      </c>
      <c r="O100" s="16">
        <v>1.9999999999999999E-6</v>
      </c>
      <c r="P100" s="16">
        <v>1.9999999999999999E-6</v>
      </c>
      <c r="Q100" s="313" t="s">
        <v>924</v>
      </c>
      <c r="R100" s="16">
        <v>0</v>
      </c>
      <c r="S100" s="16">
        <v>1.9999999999999999E-6</v>
      </c>
      <c r="T100" s="16">
        <v>1.9999999999999999E-6</v>
      </c>
    </row>
    <row r="101" spans="1:20" ht="39.950000000000003" customHeight="1" x14ac:dyDescent="0.25">
      <c r="A101" s="17" t="s">
        <v>671</v>
      </c>
      <c r="B101" s="18" t="s">
        <v>672</v>
      </c>
      <c r="C101" s="313" t="s">
        <v>431</v>
      </c>
      <c r="D101" s="313">
        <v>17039</v>
      </c>
      <c r="E101" s="313" t="s">
        <v>924</v>
      </c>
      <c r="F101" s="16">
        <v>0</v>
      </c>
      <c r="G101" s="16">
        <v>5.0000000000000004E-6</v>
      </c>
      <c r="H101" s="16">
        <v>5.0000000000000004E-6</v>
      </c>
      <c r="I101" s="313" t="s">
        <v>924</v>
      </c>
      <c r="J101" s="16">
        <v>0</v>
      </c>
      <c r="K101" s="16">
        <v>7.9999999999999996E-6</v>
      </c>
      <c r="L101" s="16">
        <v>7.9999999999999996E-6</v>
      </c>
      <c r="M101" s="313" t="s">
        <v>924</v>
      </c>
      <c r="N101" s="16">
        <v>0</v>
      </c>
      <c r="O101" s="16">
        <v>6.0000000000000002E-6</v>
      </c>
      <c r="P101" s="16">
        <v>6.0000000000000002E-6</v>
      </c>
      <c r="Q101" s="313" t="s">
        <v>924</v>
      </c>
      <c r="R101" s="16">
        <v>0</v>
      </c>
      <c r="S101" s="16">
        <v>6.0000000000000002E-6</v>
      </c>
      <c r="T101" s="16">
        <v>6.0000000000000002E-6</v>
      </c>
    </row>
    <row r="102" spans="1:20" ht="39.950000000000003" customHeight="1" x14ac:dyDescent="0.25">
      <c r="A102" s="17" t="s">
        <v>516</v>
      </c>
      <c r="B102" s="18" t="s">
        <v>673</v>
      </c>
      <c r="C102" s="313" t="s">
        <v>431</v>
      </c>
      <c r="D102" s="313">
        <v>17039</v>
      </c>
      <c r="E102" s="313" t="s">
        <v>924</v>
      </c>
      <c r="F102" s="16">
        <v>0</v>
      </c>
      <c r="G102" s="16">
        <v>1.5E-5</v>
      </c>
      <c r="H102" s="16">
        <v>1.5E-5</v>
      </c>
      <c r="I102" s="313" t="s">
        <v>924</v>
      </c>
      <c r="J102" s="16">
        <v>0</v>
      </c>
      <c r="K102" s="16">
        <v>1.9000000000000001E-5</v>
      </c>
      <c r="L102" s="16">
        <v>1.9000000000000001E-5</v>
      </c>
      <c r="M102" s="313" t="s">
        <v>924</v>
      </c>
      <c r="N102" s="16">
        <v>0</v>
      </c>
      <c r="O102" s="16">
        <v>1.5999999999999999E-5</v>
      </c>
      <c r="P102" s="16">
        <v>1.5999999999999999E-5</v>
      </c>
      <c r="Q102" s="313" t="s">
        <v>924</v>
      </c>
      <c r="R102" s="16">
        <v>0</v>
      </c>
      <c r="S102" s="16">
        <v>1.5999999999999999E-5</v>
      </c>
      <c r="T102" s="16">
        <v>1.5999999999999999E-5</v>
      </c>
    </row>
    <row r="103" spans="1:20" ht="39.950000000000003" customHeight="1" x14ac:dyDescent="0.25">
      <c r="A103" s="17" t="s">
        <v>304</v>
      </c>
      <c r="B103" s="18" t="s">
        <v>674</v>
      </c>
      <c r="C103" s="313" t="s">
        <v>431</v>
      </c>
      <c r="D103" s="313">
        <v>17039</v>
      </c>
      <c r="E103" s="313" t="s">
        <v>920</v>
      </c>
      <c r="F103" s="16">
        <v>1.86</v>
      </c>
      <c r="G103" s="16">
        <v>2.33</v>
      </c>
      <c r="H103" s="16">
        <v>2.33</v>
      </c>
      <c r="I103" s="313" t="s">
        <v>924</v>
      </c>
      <c r="J103" s="16">
        <v>0</v>
      </c>
      <c r="K103" s="16">
        <v>3.0000000000000001E-5</v>
      </c>
      <c r="L103" s="16">
        <v>3.0000000000000001E-5</v>
      </c>
      <c r="M103" s="313" t="s">
        <v>924</v>
      </c>
      <c r="N103" s="16">
        <v>0</v>
      </c>
      <c r="O103" s="16">
        <v>2.5999999999999998E-5</v>
      </c>
      <c r="P103" s="16">
        <v>2.5999999999999998E-5</v>
      </c>
      <c r="Q103" s="313" t="s">
        <v>922</v>
      </c>
      <c r="R103" s="16">
        <v>0.35599999999999998</v>
      </c>
      <c r="S103" s="16">
        <v>0.41499999999999998</v>
      </c>
      <c r="T103" s="16">
        <v>0.41499999999999998</v>
      </c>
    </row>
    <row r="104" spans="1:20" ht="39.950000000000003" customHeight="1" x14ac:dyDescent="0.25">
      <c r="A104" s="17" t="s">
        <v>675</v>
      </c>
      <c r="B104" s="18" t="s">
        <v>676</v>
      </c>
      <c r="C104" s="313" t="s">
        <v>431</v>
      </c>
      <c r="D104" s="313">
        <v>17039</v>
      </c>
      <c r="E104" s="313" t="s">
        <v>924</v>
      </c>
      <c r="F104" s="16">
        <v>0</v>
      </c>
      <c r="G104" s="16">
        <v>2.3E-5</v>
      </c>
      <c r="H104" s="16">
        <v>2.3E-5</v>
      </c>
      <c r="I104" s="313" t="s">
        <v>924</v>
      </c>
      <c r="J104" s="16">
        <v>0</v>
      </c>
      <c r="K104" s="16">
        <v>3.4999999999999997E-5</v>
      </c>
      <c r="L104" s="16">
        <v>3.4999999999999997E-5</v>
      </c>
      <c r="M104" s="313" t="s">
        <v>924</v>
      </c>
      <c r="N104" s="16">
        <v>0</v>
      </c>
      <c r="O104" s="16">
        <v>3.0000000000000001E-5</v>
      </c>
      <c r="P104" s="16">
        <v>3.0000000000000001E-5</v>
      </c>
      <c r="Q104" s="313" t="s">
        <v>924</v>
      </c>
      <c r="R104" s="16">
        <v>0</v>
      </c>
      <c r="S104" s="16">
        <v>2.5999999999999998E-5</v>
      </c>
      <c r="T104" s="16">
        <v>2.5999999999999998E-5</v>
      </c>
    </row>
    <row r="105" spans="1:20" ht="39.950000000000003" customHeight="1" x14ac:dyDescent="0.25">
      <c r="A105" s="17" t="s">
        <v>252</v>
      </c>
      <c r="B105" s="18" t="s">
        <v>677</v>
      </c>
      <c r="C105" s="313" t="s">
        <v>431</v>
      </c>
      <c r="D105" s="313">
        <v>17039</v>
      </c>
      <c r="E105" s="313" t="s">
        <v>924</v>
      </c>
      <c r="F105" s="16">
        <v>0</v>
      </c>
      <c r="G105" s="16">
        <v>2.5999999999999998E-5</v>
      </c>
      <c r="H105" s="16">
        <v>2.5999999999999998E-5</v>
      </c>
      <c r="I105" s="313" t="s">
        <v>924</v>
      </c>
      <c r="J105" s="16">
        <v>0</v>
      </c>
      <c r="K105" s="16">
        <v>4.0000000000000003E-5</v>
      </c>
      <c r="L105" s="16">
        <v>4.0000000000000003E-5</v>
      </c>
      <c r="M105" s="313" t="s">
        <v>921</v>
      </c>
      <c r="N105" s="16">
        <v>1.08</v>
      </c>
      <c r="O105" s="16">
        <v>1.22</v>
      </c>
      <c r="P105" s="16">
        <v>1.22</v>
      </c>
      <c r="Q105" s="313" t="s">
        <v>921</v>
      </c>
      <c r="R105" s="16">
        <v>0.27900000000000003</v>
      </c>
      <c r="S105" s="16">
        <v>0.32400000000000001</v>
      </c>
      <c r="T105" s="16">
        <v>0.32400000000000001</v>
      </c>
    </row>
    <row r="106" spans="1:20" ht="39.950000000000003" customHeight="1" x14ac:dyDescent="0.25">
      <c r="A106" s="313" t="s">
        <v>464</v>
      </c>
      <c r="B106" s="18" t="s">
        <v>678</v>
      </c>
      <c r="C106" s="313" t="s">
        <v>431</v>
      </c>
      <c r="D106" s="313">
        <v>17039</v>
      </c>
      <c r="E106" s="313" t="s">
        <v>924</v>
      </c>
      <c r="F106" s="16">
        <v>0</v>
      </c>
      <c r="G106" s="16">
        <v>3.0000000000000001E-5</v>
      </c>
      <c r="H106" s="16">
        <v>3.0000000000000001E-5</v>
      </c>
      <c r="I106" s="313" t="s">
        <v>924</v>
      </c>
      <c r="J106" s="16">
        <v>0</v>
      </c>
      <c r="K106" s="16">
        <v>4.8000000000000001E-5</v>
      </c>
      <c r="L106" s="16">
        <v>4.8000000000000001E-5</v>
      </c>
      <c r="M106" s="313" t="s">
        <v>924</v>
      </c>
      <c r="N106" s="16">
        <v>0</v>
      </c>
      <c r="O106" s="16">
        <v>3.8000000000000002E-5</v>
      </c>
      <c r="P106" s="16">
        <v>3.8000000000000002E-5</v>
      </c>
      <c r="Q106" s="313" t="s">
        <v>924</v>
      </c>
      <c r="R106" s="16">
        <v>0</v>
      </c>
      <c r="S106" s="16">
        <v>3.3000000000000003E-5</v>
      </c>
      <c r="T106" s="16">
        <v>3.3000000000000003E-5</v>
      </c>
    </row>
    <row r="107" spans="1:20" ht="39.950000000000003" customHeight="1" x14ac:dyDescent="0.25">
      <c r="A107" s="313" t="s">
        <v>679</v>
      </c>
      <c r="B107" s="18" t="s">
        <v>680</v>
      </c>
      <c r="C107" s="313" t="s">
        <v>431</v>
      </c>
      <c r="D107" s="313">
        <v>17039</v>
      </c>
      <c r="E107" s="313" t="s">
        <v>924</v>
      </c>
      <c r="F107" s="16">
        <v>0</v>
      </c>
      <c r="G107" s="16">
        <v>3.1000000000000001E-5</v>
      </c>
      <c r="H107" s="16">
        <v>3.1000000000000001E-5</v>
      </c>
      <c r="I107" s="313" t="s">
        <v>924</v>
      </c>
      <c r="J107" s="16">
        <v>0</v>
      </c>
      <c r="K107" s="16">
        <v>4.8999999999999998E-5</v>
      </c>
      <c r="L107" s="16">
        <v>4.8999999999999998E-5</v>
      </c>
      <c r="M107" s="313" t="s">
        <v>924</v>
      </c>
      <c r="N107" s="16">
        <v>0</v>
      </c>
      <c r="O107" s="16">
        <v>3.8999999999999999E-5</v>
      </c>
      <c r="P107" s="16">
        <v>3.8999999999999999E-5</v>
      </c>
      <c r="Q107" s="313" t="s">
        <v>924</v>
      </c>
      <c r="R107" s="16">
        <v>0</v>
      </c>
      <c r="S107" s="16">
        <v>3.4E-5</v>
      </c>
      <c r="T107" s="16">
        <v>3.4E-5</v>
      </c>
    </row>
    <row r="108" spans="1:20" ht="39.950000000000003" customHeight="1" x14ac:dyDescent="0.25">
      <c r="A108" s="17" t="s">
        <v>376</v>
      </c>
      <c r="B108" s="18" t="s">
        <v>681</v>
      </c>
      <c r="C108" s="313" t="s">
        <v>431</v>
      </c>
      <c r="D108" s="313">
        <v>17039</v>
      </c>
      <c r="E108" s="313" t="s">
        <v>924</v>
      </c>
      <c r="F108" s="16">
        <v>0</v>
      </c>
      <c r="G108" s="16">
        <v>3.4999999999999997E-5</v>
      </c>
      <c r="H108" s="16">
        <v>3.4999999999999997E-5</v>
      </c>
      <c r="I108" s="313" t="s">
        <v>924</v>
      </c>
      <c r="J108" s="16">
        <v>0</v>
      </c>
      <c r="K108" s="16">
        <v>5.8E-5</v>
      </c>
      <c r="L108" s="16">
        <v>5.8E-5</v>
      </c>
      <c r="M108" s="313" t="s">
        <v>924</v>
      </c>
      <c r="N108" s="16">
        <v>0</v>
      </c>
      <c r="O108" s="16">
        <v>4.5000000000000003E-5</v>
      </c>
      <c r="P108" s="16">
        <v>4.5000000000000003E-5</v>
      </c>
      <c r="Q108" s="313" t="s">
        <v>924</v>
      </c>
      <c r="R108" s="16">
        <v>0</v>
      </c>
      <c r="S108" s="16">
        <v>4.1E-5</v>
      </c>
      <c r="T108" s="16">
        <v>4.1E-5</v>
      </c>
    </row>
    <row r="109" spans="1:20" ht="39.950000000000003" customHeight="1" x14ac:dyDescent="0.25">
      <c r="A109" s="17" t="s">
        <v>682</v>
      </c>
      <c r="B109" s="311" t="s">
        <v>683</v>
      </c>
      <c r="C109" s="313" t="s">
        <v>431</v>
      </c>
      <c r="D109" s="313">
        <v>17039</v>
      </c>
      <c r="E109" s="313" t="s">
        <v>924</v>
      </c>
      <c r="F109" s="16">
        <v>0</v>
      </c>
      <c r="G109" s="16">
        <v>3.6999999999999998E-5</v>
      </c>
      <c r="H109" s="16">
        <v>3.6999999999999998E-5</v>
      </c>
      <c r="I109" s="313" t="s">
        <v>924</v>
      </c>
      <c r="J109" s="16">
        <v>0</v>
      </c>
      <c r="K109" s="16">
        <v>6.0999999999999999E-5</v>
      </c>
      <c r="L109" s="16">
        <v>6.0999999999999999E-5</v>
      </c>
      <c r="M109" s="313" t="s">
        <v>924</v>
      </c>
      <c r="N109" s="16">
        <v>0</v>
      </c>
      <c r="O109" s="16">
        <v>4.6999999999999997E-5</v>
      </c>
      <c r="P109" s="16">
        <v>4.6999999999999997E-5</v>
      </c>
      <c r="Q109" s="313" t="s">
        <v>924</v>
      </c>
      <c r="R109" s="16">
        <v>0</v>
      </c>
      <c r="S109" s="16">
        <v>4.3999999999999999E-5</v>
      </c>
      <c r="T109" s="16">
        <v>4.3999999999999999E-5</v>
      </c>
    </row>
    <row r="110" spans="1:20" ht="39.950000000000003" customHeight="1" x14ac:dyDescent="0.25">
      <c r="A110" s="313" t="s">
        <v>269</v>
      </c>
      <c r="B110" s="18" t="s">
        <v>684</v>
      </c>
      <c r="C110" s="313" t="s">
        <v>431</v>
      </c>
      <c r="D110" s="313">
        <v>17039</v>
      </c>
      <c r="E110" s="313" t="s">
        <v>926</v>
      </c>
      <c r="F110" s="16">
        <v>0.89</v>
      </c>
      <c r="G110" s="16">
        <v>1.110001</v>
      </c>
      <c r="H110" s="16">
        <v>1.110001</v>
      </c>
      <c r="I110" s="313" t="s">
        <v>924</v>
      </c>
      <c r="J110" s="16">
        <v>0</v>
      </c>
      <c r="K110" s="16">
        <v>7.2999999999999999E-5</v>
      </c>
      <c r="L110" s="16">
        <v>7.2999999999999999E-5</v>
      </c>
      <c r="M110" s="313" t="s">
        <v>920</v>
      </c>
      <c r="N110" s="16">
        <v>0.38</v>
      </c>
      <c r="O110" s="16">
        <v>0.42000199999999999</v>
      </c>
      <c r="P110" s="16">
        <v>0.42000199999999999</v>
      </c>
      <c r="Q110" s="313" t="s">
        <v>924</v>
      </c>
      <c r="R110" s="16">
        <v>0</v>
      </c>
      <c r="S110" s="16">
        <v>5.1E-5</v>
      </c>
      <c r="T110" s="16">
        <v>5.1E-5</v>
      </c>
    </row>
    <row r="111" spans="1:20" ht="39.950000000000003" customHeight="1" x14ac:dyDescent="0.25">
      <c r="A111" s="17" t="s">
        <v>296</v>
      </c>
      <c r="B111" s="18" t="s">
        <v>685</v>
      </c>
      <c r="C111" s="313" t="s">
        <v>431</v>
      </c>
      <c r="D111" s="313">
        <v>17039</v>
      </c>
      <c r="E111" s="313" t="s">
        <v>920</v>
      </c>
      <c r="F111" s="16">
        <v>1.88</v>
      </c>
      <c r="G111" s="16">
        <v>2.3500009999999998</v>
      </c>
      <c r="H111" s="16">
        <v>2.3500009999999998</v>
      </c>
      <c r="I111" s="313" t="s">
        <v>924</v>
      </c>
      <c r="J111" s="16">
        <v>0</v>
      </c>
      <c r="K111" s="16">
        <v>7.7000000000000001E-5</v>
      </c>
      <c r="L111" s="16">
        <v>7.7000000000000001E-5</v>
      </c>
      <c r="M111" s="313" t="s">
        <v>921</v>
      </c>
      <c r="N111" s="16">
        <v>0.81</v>
      </c>
      <c r="O111" s="16">
        <v>0.91</v>
      </c>
      <c r="P111" s="16">
        <v>0.91</v>
      </c>
      <c r="Q111" s="313" t="s">
        <v>921</v>
      </c>
      <c r="R111" s="16">
        <v>0.17799999999999999</v>
      </c>
      <c r="S111" s="16">
        <v>0.20699999999999999</v>
      </c>
      <c r="T111" s="16">
        <v>0.20699999999999999</v>
      </c>
    </row>
    <row r="112" spans="1:20" ht="39.950000000000003" customHeight="1" x14ac:dyDescent="0.25">
      <c r="A112" s="17" t="s">
        <v>412</v>
      </c>
      <c r="B112" s="18" t="s">
        <v>686</v>
      </c>
      <c r="C112" s="313" t="s">
        <v>431</v>
      </c>
      <c r="D112" s="313">
        <v>17039</v>
      </c>
      <c r="E112" s="313" t="s">
        <v>920</v>
      </c>
      <c r="F112" s="16">
        <v>2.1</v>
      </c>
      <c r="G112" s="16">
        <v>2.6200009999999998</v>
      </c>
      <c r="H112" s="16">
        <v>2.6200009999999998</v>
      </c>
      <c r="I112" s="313" t="s">
        <v>921</v>
      </c>
      <c r="J112" s="16">
        <v>2.37</v>
      </c>
      <c r="K112" s="16">
        <v>2.96</v>
      </c>
      <c r="L112" s="16">
        <v>2.96</v>
      </c>
      <c r="M112" s="313" t="s">
        <v>921</v>
      </c>
      <c r="N112" s="16">
        <v>1.24</v>
      </c>
      <c r="O112" s="16">
        <v>1.390001</v>
      </c>
      <c r="P112" s="16">
        <v>1.390001</v>
      </c>
      <c r="Q112" s="313" t="s">
        <v>922</v>
      </c>
      <c r="R112" s="16">
        <v>0.251</v>
      </c>
      <c r="S112" s="16">
        <v>0.29200100000000001</v>
      </c>
      <c r="T112" s="16">
        <v>0.29200100000000001</v>
      </c>
    </row>
    <row r="113" spans="1:20" ht="39.950000000000003" customHeight="1" x14ac:dyDescent="0.25">
      <c r="A113" s="17" t="s">
        <v>687</v>
      </c>
      <c r="B113" s="18" t="s">
        <v>688</v>
      </c>
      <c r="C113" s="313" t="s">
        <v>431</v>
      </c>
      <c r="D113" s="313">
        <v>17039</v>
      </c>
      <c r="E113" s="313" t="s">
        <v>924</v>
      </c>
      <c r="F113" s="16">
        <v>0</v>
      </c>
      <c r="G113" s="16">
        <v>4.6E-5</v>
      </c>
      <c r="H113" s="16">
        <v>4.6E-5</v>
      </c>
      <c r="I113" s="313" t="s">
        <v>924</v>
      </c>
      <c r="J113" s="16">
        <v>0</v>
      </c>
      <c r="K113" s="16">
        <v>8.2999999999999998E-5</v>
      </c>
      <c r="L113" s="16">
        <v>8.2999999999999998E-5</v>
      </c>
      <c r="M113" s="313" t="s">
        <v>924</v>
      </c>
      <c r="N113" s="16">
        <v>0</v>
      </c>
      <c r="O113" s="16">
        <v>5.7000000000000003E-5</v>
      </c>
      <c r="P113" s="16">
        <v>5.7000000000000003E-5</v>
      </c>
      <c r="Q113" s="313" t="s">
        <v>924</v>
      </c>
      <c r="R113" s="16">
        <v>0</v>
      </c>
      <c r="S113" s="16">
        <v>6.0000000000000002E-5</v>
      </c>
      <c r="T113" s="16">
        <v>6.0000000000000002E-5</v>
      </c>
    </row>
    <row r="114" spans="1:20" ht="39.950000000000003" customHeight="1" x14ac:dyDescent="0.25">
      <c r="A114" s="313" t="s">
        <v>306</v>
      </c>
      <c r="B114" s="18" t="s">
        <v>689</v>
      </c>
      <c r="C114" s="313" t="s">
        <v>431</v>
      </c>
      <c r="D114" s="313">
        <v>17039</v>
      </c>
      <c r="E114" s="313" t="s">
        <v>923</v>
      </c>
      <c r="F114" s="16">
        <v>1.37</v>
      </c>
      <c r="G114" s="16">
        <v>1.71</v>
      </c>
      <c r="H114" s="16">
        <v>1.71</v>
      </c>
      <c r="I114" s="313" t="s">
        <v>924</v>
      </c>
      <c r="J114" s="16">
        <v>0</v>
      </c>
      <c r="K114" s="16">
        <v>8.8999999999999995E-5</v>
      </c>
      <c r="L114" s="16">
        <v>8.8999999999999995E-5</v>
      </c>
      <c r="M114" s="313" t="s">
        <v>920</v>
      </c>
      <c r="N114" s="16">
        <v>0.83</v>
      </c>
      <c r="O114" s="16">
        <v>0.930002</v>
      </c>
      <c r="P114" s="16">
        <v>0.930002</v>
      </c>
      <c r="Q114" s="313" t="s">
        <v>921</v>
      </c>
      <c r="R114" s="16">
        <v>0.25700000000000001</v>
      </c>
      <c r="S114" s="16">
        <v>0.29799999999999999</v>
      </c>
      <c r="T114" s="16">
        <v>0.29799999999999999</v>
      </c>
    </row>
    <row r="115" spans="1:20" ht="39.950000000000003" customHeight="1" x14ac:dyDescent="0.25">
      <c r="A115" s="17" t="s">
        <v>388</v>
      </c>
      <c r="B115" s="18" t="s">
        <v>690</v>
      </c>
      <c r="C115" s="313" t="s">
        <v>431</v>
      </c>
      <c r="D115" s="313">
        <v>17039</v>
      </c>
      <c r="E115" s="313" t="s">
        <v>923</v>
      </c>
      <c r="F115" s="16">
        <v>1.18</v>
      </c>
      <c r="G115" s="16">
        <v>1.4700009999999999</v>
      </c>
      <c r="H115" s="16">
        <v>1.4700009999999999</v>
      </c>
      <c r="I115" s="313" t="s">
        <v>924</v>
      </c>
      <c r="J115" s="16">
        <v>0</v>
      </c>
      <c r="K115" s="16">
        <v>9.2999999999999997E-5</v>
      </c>
      <c r="L115" s="16">
        <v>9.2999999999999997E-5</v>
      </c>
      <c r="M115" s="313" t="s">
        <v>921</v>
      </c>
      <c r="N115" s="16">
        <v>0.85</v>
      </c>
      <c r="O115" s="16">
        <v>0.95</v>
      </c>
      <c r="P115" s="16">
        <v>0.95</v>
      </c>
      <c r="Q115" s="313" t="s">
        <v>920</v>
      </c>
      <c r="R115" s="16">
        <v>0.17499999999999999</v>
      </c>
      <c r="S115" s="16">
        <v>0.20399999999999999</v>
      </c>
      <c r="T115" s="16">
        <v>0.20399999999999999</v>
      </c>
    </row>
    <row r="116" spans="1:20" ht="39.950000000000003" customHeight="1" x14ac:dyDescent="0.25">
      <c r="A116" s="313" t="s">
        <v>260</v>
      </c>
      <c r="B116" s="18" t="s">
        <v>691</v>
      </c>
      <c r="C116" s="313" t="s">
        <v>431</v>
      </c>
      <c r="D116" s="313">
        <v>17039</v>
      </c>
      <c r="E116" s="313" t="s">
        <v>920</v>
      </c>
      <c r="F116" s="16">
        <v>1.81</v>
      </c>
      <c r="G116" s="16">
        <v>2.2599999999999998</v>
      </c>
      <c r="H116" s="16">
        <v>2.2599999999999998</v>
      </c>
      <c r="I116" s="313" t="s">
        <v>924</v>
      </c>
      <c r="J116" s="16">
        <v>0</v>
      </c>
      <c r="K116" s="16">
        <v>1.05E-4</v>
      </c>
      <c r="L116" s="16">
        <v>1.05E-4</v>
      </c>
      <c r="M116" s="313" t="s">
        <v>921</v>
      </c>
      <c r="N116" s="16">
        <v>1.08</v>
      </c>
      <c r="O116" s="16">
        <v>1.2100010000000001</v>
      </c>
      <c r="P116" s="16">
        <v>1.2100010000000001</v>
      </c>
      <c r="Q116" s="313" t="s">
        <v>922</v>
      </c>
      <c r="R116" s="16">
        <v>0.30299999999999999</v>
      </c>
      <c r="S116" s="16">
        <v>0.35199999999999998</v>
      </c>
      <c r="T116" s="16">
        <v>0.35199999999999998</v>
      </c>
    </row>
    <row r="117" spans="1:20" ht="39.950000000000003" customHeight="1" x14ac:dyDescent="0.25">
      <c r="A117" s="313" t="s">
        <v>265</v>
      </c>
      <c r="B117" s="18" t="s">
        <v>692</v>
      </c>
      <c r="C117" s="313" t="s">
        <v>431</v>
      </c>
      <c r="D117" s="313">
        <v>17039</v>
      </c>
      <c r="E117" s="313" t="s">
        <v>920</v>
      </c>
      <c r="F117" s="16">
        <v>1.96</v>
      </c>
      <c r="G117" s="16">
        <v>2.450002</v>
      </c>
      <c r="H117" s="16">
        <v>2.450002</v>
      </c>
      <c r="I117" s="313" t="s">
        <v>921</v>
      </c>
      <c r="J117" s="16">
        <v>1.26</v>
      </c>
      <c r="K117" s="16">
        <v>1.570001</v>
      </c>
      <c r="L117" s="16">
        <v>1.570001</v>
      </c>
      <c r="M117" s="313" t="s">
        <v>921</v>
      </c>
      <c r="N117" s="16">
        <v>1.1299999999999999</v>
      </c>
      <c r="O117" s="16">
        <v>1.27</v>
      </c>
      <c r="P117" s="16">
        <v>1.27</v>
      </c>
      <c r="Q117" s="313" t="s">
        <v>922</v>
      </c>
      <c r="R117" s="16">
        <v>0.29599999999999999</v>
      </c>
      <c r="S117" s="16">
        <v>0.34499999999999997</v>
      </c>
      <c r="T117" s="16">
        <v>0.34499999999999997</v>
      </c>
    </row>
    <row r="118" spans="1:20" ht="39.950000000000003" customHeight="1" x14ac:dyDescent="0.25">
      <c r="A118" s="17" t="s">
        <v>693</v>
      </c>
      <c r="B118" s="18" t="s">
        <v>694</v>
      </c>
      <c r="C118" s="313" t="s">
        <v>431</v>
      </c>
      <c r="D118" s="313">
        <v>17039</v>
      </c>
      <c r="E118" s="313" t="s">
        <v>924</v>
      </c>
      <c r="F118" s="16">
        <v>0</v>
      </c>
      <c r="G118" s="16">
        <v>6.0000000000000002E-5</v>
      </c>
      <c r="H118" s="16">
        <v>6.0000000000000002E-5</v>
      </c>
      <c r="I118" s="313" t="s">
        <v>924</v>
      </c>
      <c r="J118" s="16">
        <v>0</v>
      </c>
      <c r="K118" s="16">
        <v>1.21E-4</v>
      </c>
      <c r="L118" s="16">
        <v>1.21E-4</v>
      </c>
      <c r="M118" s="313" t="s">
        <v>924</v>
      </c>
      <c r="N118" s="16">
        <v>0</v>
      </c>
      <c r="O118" s="16">
        <v>7.8999999999999996E-5</v>
      </c>
      <c r="P118" s="16">
        <v>7.8999999999999996E-5</v>
      </c>
      <c r="Q118" s="313" t="s">
        <v>924</v>
      </c>
      <c r="R118" s="16">
        <v>0</v>
      </c>
      <c r="S118" s="16">
        <v>8.6000000000000003E-5</v>
      </c>
      <c r="T118" s="16">
        <v>8.6000000000000003E-5</v>
      </c>
    </row>
    <row r="119" spans="1:20" ht="39.950000000000003" customHeight="1" x14ac:dyDescent="0.25">
      <c r="A119" s="17" t="s">
        <v>446</v>
      </c>
      <c r="B119" s="18" t="s">
        <v>695</v>
      </c>
      <c r="C119" s="313" t="s">
        <v>431</v>
      </c>
      <c r="D119" s="313">
        <v>17039</v>
      </c>
      <c r="E119" s="313" t="s">
        <v>926</v>
      </c>
      <c r="F119" s="16">
        <v>0.83</v>
      </c>
      <c r="G119" s="16">
        <v>1.04</v>
      </c>
      <c r="H119" s="16">
        <v>1.04</v>
      </c>
      <c r="I119" s="313" t="s">
        <v>924</v>
      </c>
      <c r="J119" s="16">
        <v>0</v>
      </c>
      <c r="K119" s="16">
        <v>1.25E-4</v>
      </c>
      <c r="L119" s="16">
        <v>1.25E-4</v>
      </c>
      <c r="M119" s="313" t="s">
        <v>920</v>
      </c>
      <c r="N119" s="16">
        <v>0.55000000000000004</v>
      </c>
      <c r="O119" s="16">
        <v>0.61000200000000004</v>
      </c>
      <c r="P119" s="16">
        <v>0.61000200000000004</v>
      </c>
      <c r="Q119" s="313" t="s">
        <v>924</v>
      </c>
      <c r="R119" s="16">
        <v>0</v>
      </c>
      <c r="S119" s="16">
        <v>8.8999999999999995E-5</v>
      </c>
      <c r="T119" s="16">
        <v>8.8999999999999995E-5</v>
      </c>
    </row>
    <row r="120" spans="1:20" ht="39.950000000000003" customHeight="1" x14ac:dyDescent="0.25">
      <c r="A120" s="17" t="s">
        <v>696</v>
      </c>
      <c r="B120" s="18" t="s">
        <v>697</v>
      </c>
      <c r="C120" s="313" t="s">
        <v>431</v>
      </c>
      <c r="D120" s="313">
        <v>17039</v>
      </c>
      <c r="E120" s="313" t="s">
        <v>924</v>
      </c>
      <c r="F120" s="16">
        <v>0</v>
      </c>
      <c r="G120" s="16">
        <v>6.3E-5</v>
      </c>
      <c r="H120" s="16">
        <v>6.3E-5</v>
      </c>
      <c r="I120" s="313" t="s">
        <v>924</v>
      </c>
      <c r="J120" s="16">
        <v>0</v>
      </c>
      <c r="K120" s="16">
        <v>1.26E-4</v>
      </c>
      <c r="L120" s="16">
        <v>1.26E-4</v>
      </c>
      <c r="M120" s="313" t="s">
        <v>924</v>
      </c>
      <c r="N120" s="16">
        <v>0</v>
      </c>
      <c r="O120" s="16">
        <v>8.1000000000000004E-5</v>
      </c>
      <c r="P120" s="16">
        <v>8.1000000000000004E-5</v>
      </c>
      <c r="Q120" s="313" t="s">
        <v>924</v>
      </c>
      <c r="R120" s="16">
        <v>0</v>
      </c>
      <c r="S120" s="16">
        <v>9.0000000000000006E-5</v>
      </c>
      <c r="T120" s="16">
        <v>9.0000000000000006E-5</v>
      </c>
    </row>
    <row r="121" spans="1:20" ht="39.950000000000003" customHeight="1" x14ac:dyDescent="0.25">
      <c r="A121" s="17" t="s">
        <v>474</v>
      </c>
      <c r="B121" s="18" t="s">
        <v>698</v>
      </c>
      <c r="C121" s="313" t="s">
        <v>431</v>
      </c>
      <c r="D121" s="313">
        <v>17039</v>
      </c>
      <c r="E121" s="313" t="s">
        <v>924</v>
      </c>
      <c r="F121" s="16">
        <v>0</v>
      </c>
      <c r="G121" s="16">
        <v>7.1000000000000005E-5</v>
      </c>
      <c r="H121" s="16">
        <v>7.1000000000000005E-5</v>
      </c>
      <c r="I121" s="313" t="s">
        <v>924</v>
      </c>
      <c r="J121" s="16">
        <v>0</v>
      </c>
      <c r="K121" s="16">
        <v>1.3999999999999999E-4</v>
      </c>
      <c r="L121" s="16">
        <v>1.3999999999999999E-4</v>
      </c>
      <c r="M121" s="313" t="s">
        <v>924</v>
      </c>
      <c r="N121" s="16">
        <v>0</v>
      </c>
      <c r="O121" s="16">
        <v>9.2E-5</v>
      </c>
      <c r="P121" s="16">
        <v>9.2E-5</v>
      </c>
      <c r="Q121" s="313" t="s">
        <v>924</v>
      </c>
      <c r="R121" s="16">
        <v>0</v>
      </c>
      <c r="S121" s="16">
        <v>1.02E-4</v>
      </c>
      <c r="T121" s="16">
        <v>1.02E-4</v>
      </c>
    </row>
    <row r="122" spans="1:20" ht="39.950000000000003" customHeight="1" x14ac:dyDescent="0.25">
      <c r="A122" s="313" t="s">
        <v>246</v>
      </c>
      <c r="B122" s="18" t="s">
        <v>699</v>
      </c>
      <c r="C122" s="313" t="s">
        <v>431</v>
      </c>
      <c r="D122" s="313">
        <v>17039</v>
      </c>
      <c r="E122" s="313" t="s">
        <v>920</v>
      </c>
      <c r="F122" s="16">
        <v>1.67</v>
      </c>
      <c r="G122" s="16">
        <v>2.090001</v>
      </c>
      <c r="H122" s="16">
        <v>2.090001</v>
      </c>
      <c r="I122" s="313" t="s">
        <v>921</v>
      </c>
      <c r="J122" s="16">
        <v>1.68</v>
      </c>
      <c r="K122" s="16">
        <v>2.1</v>
      </c>
      <c r="L122" s="16">
        <v>2.1</v>
      </c>
      <c r="M122" s="313" t="s">
        <v>921</v>
      </c>
      <c r="N122" s="16">
        <v>1</v>
      </c>
      <c r="O122" s="16">
        <v>1.1200000000000001</v>
      </c>
      <c r="P122" s="16">
        <v>1.1200000000000001</v>
      </c>
      <c r="Q122" s="313" t="s">
        <v>922</v>
      </c>
      <c r="R122" s="16">
        <v>0.251</v>
      </c>
      <c r="S122" s="16">
        <v>0.29199999999999998</v>
      </c>
      <c r="T122" s="16">
        <v>0.29199999999999998</v>
      </c>
    </row>
    <row r="123" spans="1:20" ht="39.950000000000003" customHeight="1" x14ac:dyDescent="0.25">
      <c r="A123" s="17" t="s">
        <v>328</v>
      </c>
      <c r="B123" s="18" t="s">
        <v>700</v>
      </c>
      <c r="C123" s="313" t="s">
        <v>431</v>
      </c>
      <c r="D123" s="313">
        <v>17039</v>
      </c>
      <c r="E123" s="313" t="s">
        <v>926</v>
      </c>
      <c r="F123" s="16">
        <v>0.91</v>
      </c>
      <c r="G123" s="16">
        <v>1.140002</v>
      </c>
      <c r="H123" s="16">
        <v>1.140002</v>
      </c>
      <c r="I123" s="313" t="s">
        <v>924</v>
      </c>
      <c r="J123" s="16">
        <v>0</v>
      </c>
      <c r="K123" s="16">
        <v>1.4200000000000001E-4</v>
      </c>
      <c r="L123" s="16">
        <v>1.4200000000000001E-4</v>
      </c>
      <c r="M123" s="313" t="s">
        <v>920</v>
      </c>
      <c r="N123" s="16">
        <v>0.61</v>
      </c>
      <c r="O123" s="16">
        <v>0.69000399999999995</v>
      </c>
      <c r="P123" s="16">
        <v>0.69000399999999995</v>
      </c>
      <c r="Q123" s="313" t="s">
        <v>921</v>
      </c>
      <c r="R123" s="16">
        <v>0.219</v>
      </c>
      <c r="S123" s="16">
        <v>0.25400099999999998</v>
      </c>
      <c r="T123" s="16">
        <v>0.25400099999999998</v>
      </c>
    </row>
    <row r="124" spans="1:20" ht="39.950000000000003" customHeight="1" x14ac:dyDescent="0.25">
      <c r="A124" s="17" t="s">
        <v>476</v>
      </c>
      <c r="B124" s="18" t="s">
        <v>701</v>
      </c>
      <c r="C124" s="313" t="s">
        <v>431</v>
      </c>
      <c r="D124" s="313">
        <v>17039</v>
      </c>
      <c r="E124" s="313" t="s">
        <v>924</v>
      </c>
      <c r="F124" s="16">
        <v>0</v>
      </c>
      <c r="G124" s="16">
        <v>7.3999999999999996E-5</v>
      </c>
      <c r="H124" s="16">
        <v>7.3999999999999996E-5</v>
      </c>
      <c r="I124" s="313" t="s">
        <v>924</v>
      </c>
      <c r="J124" s="16">
        <v>0</v>
      </c>
      <c r="K124" s="16">
        <v>1.47E-4</v>
      </c>
      <c r="L124" s="16">
        <v>1.47E-4</v>
      </c>
      <c r="M124" s="313" t="s">
        <v>924</v>
      </c>
      <c r="N124" s="16">
        <v>0</v>
      </c>
      <c r="O124" s="16">
        <v>9.7E-5</v>
      </c>
      <c r="P124" s="16">
        <v>9.7E-5</v>
      </c>
      <c r="Q124" s="313" t="s">
        <v>924</v>
      </c>
      <c r="R124" s="16">
        <v>0</v>
      </c>
      <c r="S124" s="16">
        <v>1.06E-4</v>
      </c>
      <c r="T124" s="16">
        <v>1.06E-4</v>
      </c>
    </row>
    <row r="125" spans="1:20" ht="39.950000000000003" customHeight="1" x14ac:dyDescent="0.25">
      <c r="A125" s="313" t="s">
        <v>477</v>
      </c>
      <c r="B125" s="18" t="s">
        <v>702</v>
      </c>
      <c r="C125" s="313" t="s">
        <v>431</v>
      </c>
      <c r="D125" s="313">
        <v>17039</v>
      </c>
      <c r="E125" s="313" t="s">
        <v>923</v>
      </c>
      <c r="F125" s="16">
        <v>1.21</v>
      </c>
      <c r="G125" s="16">
        <v>1.5200009999999999</v>
      </c>
      <c r="H125" s="16">
        <v>1.5200009999999999</v>
      </c>
      <c r="I125" s="313" t="s">
        <v>924</v>
      </c>
      <c r="J125" s="16">
        <v>0</v>
      </c>
      <c r="K125" s="16">
        <v>1.4899999999999999E-4</v>
      </c>
      <c r="L125" s="16">
        <v>1.4899999999999999E-4</v>
      </c>
      <c r="M125" s="313" t="s">
        <v>924</v>
      </c>
      <c r="N125" s="16">
        <v>0</v>
      </c>
      <c r="O125" s="16">
        <v>9.7999999999999997E-5</v>
      </c>
      <c r="P125" s="16">
        <v>9.7999999999999997E-5</v>
      </c>
      <c r="Q125" s="313" t="s">
        <v>924</v>
      </c>
      <c r="R125" s="16">
        <v>0</v>
      </c>
      <c r="S125" s="16">
        <v>1.08E-4</v>
      </c>
      <c r="T125" s="16">
        <v>1.08E-4</v>
      </c>
    </row>
    <row r="126" spans="1:20" ht="39.950000000000003" customHeight="1" x14ac:dyDescent="0.25">
      <c r="A126" s="313" t="s">
        <v>245</v>
      </c>
      <c r="B126" s="18" t="s">
        <v>703</v>
      </c>
      <c r="C126" s="313" t="s">
        <v>431</v>
      </c>
      <c r="D126" s="313">
        <v>17039</v>
      </c>
      <c r="E126" s="313" t="s">
        <v>923</v>
      </c>
      <c r="F126" s="16">
        <v>0.81</v>
      </c>
      <c r="G126" s="16">
        <v>1.01</v>
      </c>
      <c r="H126" s="16">
        <v>1.01</v>
      </c>
      <c r="I126" s="313" t="s">
        <v>924</v>
      </c>
      <c r="J126" s="16">
        <v>0</v>
      </c>
      <c r="K126" s="16">
        <v>1.63E-4</v>
      </c>
      <c r="L126" s="16">
        <v>1.63E-4</v>
      </c>
      <c r="M126" s="313" t="s">
        <v>920</v>
      </c>
      <c r="N126" s="16">
        <v>0.83</v>
      </c>
      <c r="O126" s="16">
        <v>0.93</v>
      </c>
      <c r="P126" s="16">
        <v>0.93</v>
      </c>
      <c r="Q126" s="313" t="s">
        <v>921</v>
      </c>
      <c r="R126" s="16">
        <v>0.20300000000000001</v>
      </c>
      <c r="S126" s="16">
        <v>0.23599999999999999</v>
      </c>
      <c r="T126" s="16">
        <v>0.23599999999999999</v>
      </c>
    </row>
    <row r="127" spans="1:20" ht="39.950000000000003" customHeight="1" x14ac:dyDescent="0.25">
      <c r="A127" s="17" t="s">
        <v>480</v>
      </c>
      <c r="B127" s="18" t="s">
        <v>704</v>
      </c>
      <c r="C127" s="313" t="s">
        <v>431</v>
      </c>
      <c r="D127" s="313">
        <v>17039</v>
      </c>
      <c r="E127" s="313" t="s">
        <v>924</v>
      </c>
      <c r="F127" s="16">
        <v>0</v>
      </c>
      <c r="G127" s="16">
        <v>8.2000000000000001E-5</v>
      </c>
      <c r="H127" s="16">
        <v>8.2000000000000001E-5</v>
      </c>
      <c r="I127" s="313" t="s">
        <v>924</v>
      </c>
      <c r="J127" s="16">
        <v>0</v>
      </c>
      <c r="K127" s="16">
        <v>1.7100000000000001E-4</v>
      </c>
      <c r="L127" s="16">
        <v>1.7100000000000001E-4</v>
      </c>
      <c r="M127" s="313" t="s">
        <v>924</v>
      </c>
      <c r="N127" s="16">
        <v>0</v>
      </c>
      <c r="O127" s="16">
        <v>1.1E-4</v>
      </c>
      <c r="P127" s="16">
        <v>1.1E-4</v>
      </c>
      <c r="Q127" s="313" t="s">
        <v>924</v>
      </c>
      <c r="R127" s="16">
        <v>0</v>
      </c>
      <c r="S127" s="16">
        <v>1.25E-4</v>
      </c>
      <c r="T127" s="16">
        <v>1.25E-4</v>
      </c>
    </row>
    <row r="128" spans="1:20" ht="39.950000000000003" customHeight="1" x14ac:dyDescent="0.25">
      <c r="A128" s="313" t="s">
        <v>247</v>
      </c>
      <c r="B128" s="18" t="s">
        <v>705</v>
      </c>
      <c r="C128" s="313" t="s">
        <v>431</v>
      </c>
      <c r="D128" s="313">
        <v>17039</v>
      </c>
      <c r="E128" s="313" t="s">
        <v>920</v>
      </c>
      <c r="F128" s="16">
        <v>1.85</v>
      </c>
      <c r="G128" s="16">
        <v>2.3100010000000002</v>
      </c>
      <c r="H128" s="16">
        <v>2.3100010000000002</v>
      </c>
      <c r="I128" s="313" t="s">
        <v>924</v>
      </c>
      <c r="J128" s="16">
        <v>0</v>
      </c>
      <c r="K128" s="16">
        <v>1.75E-4</v>
      </c>
      <c r="L128" s="16">
        <v>1.75E-4</v>
      </c>
      <c r="M128" s="313" t="s">
        <v>921</v>
      </c>
      <c r="N128" s="16">
        <v>1.33</v>
      </c>
      <c r="O128" s="16">
        <v>1.5</v>
      </c>
      <c r="P128" s="16">
        <v>1.5</v>
      </c>
      <c r="Q128" s="313" t="s">
        <v>924</v>
      </c>
      <c r="R128" s="16">
        <v>0</v>
      </c>
      <c r="S128" s="16">
        <v>1.2799999999999999E-4</v>
      </c>
      <c r="T128" s="16">
        <v>1.2799999999999999E-4</v>
      </c>
    </row>
    <row r="129" spans="1:20" ht="39.950000000000003" customHeight="1" x14ac:dyDescent="0.25">
      <c r="A129" s="17" t="s">
        <v>314</v>
      </c>
      <c r="B129" s="18" t="s">
        <v>706</v>
      </c>
      <c r="C129" s="313" t="s">
        <v>431</v>
      </c>
      <c r="D129" s="313">
        <v>17039</v>
      </c>
      <c r="E129" s="313" t="s">
        <v>926</v>
      </c>
      <c r="F129" s="16">
        <v>0.59</v>
      </c>
      <c r="G129" s="16">
        <v>0.74</v>
      </c>
      <c r="H129" s="16">
        <v>0.74</v>
      </c>
      <c r="I129" s="313" t="s">
        <v>924</v>
      </c>
      <c r="J129" s="16">
        <v>0</v>
      </c>
      <c r="K129" s="16">
        <v>1.76E-4</v>
      </c>
      <c r="L129" s="16">
        <v>1.76E-4</v>
      </c>
      <c r="M129" s="313" t="s">
        <v>920</v>
      </c>
      <c r="N129" s="16">
        <v>0.39</v>
      </c>
      <c r="O129" s="16">
        <v>0.44</v>
      </c>
      <c r="P129" s="16">
        <v>0.44</v>
      </c>
      <c r="Q129" s="313" t="s">
        <v>920</v>
      </c>
      <c r="R129" s="16">
        <v>0.107</v>
      </c>
      <c r="S129" s="16">
        <v>0.125</v>
      </c>
      <c r="T129" s="16">
        <v>0.125</v>
      </c>
    </row>
    <row r="130" spans="1:20" ht="39.950000000000003" customHeight="1" x14ac:dyDescent="0.25">
      <c r="A130" s="17" t="s">
        <v>248</v>
      </c>
      <c r="B130" s="18" t="s">
        <v>707</v>
      </c>
      <c r="C130" s="313" t="s">
        <v>431</v>
      </c>
      <c r="D130" s="313">
        <v>17039</v>
      </c>
      <c r="E130" s="313" t="s">
        <v>923</v>
      </c>
      <c r="F130" s="16">
        <v>1.1200000000000001</v>
      </c>
      <c r="G130" s="16">
        <v>1.4100029999999999</v>
      </c>
      <c r="H130" s="16">
        <v>1.4100029999999999</v>
      </c>
      <c r="I130" s="313" t="s">
        <v>924</v>
      </c>
      <c r="J130" s="16">
        <v>0</v>
      </c>
      <c r="K130" s="16">
        <v>1.8699999999999999E-4</v>
      </c>
      <c r="L130" s="16">
        <v>1.8699999999999999E-4</v>
      </c>
      <c r="M130" s="313" t="s">
        <v>920</v>
      </c>
      <c r="N130" s="16">
        <v>0.84</v>
      </c>
      <c r="O130" s="16">
        <v>0.94000099999999998</v>
      </c>
      <c r="P130" s="16">
        <v>0.94000099999999998</v>
      </c>
      <c r="Q130" s="313" t="s">
        <v>921</v>
      </c>
      <c r="R130" s="16">
        <v>0.222</v>
      </c>
      <c r="S130" s="16">
        <v>0.25800000000000001</v>
      </c>
      <c r="T130" s="16">
        <v>0.25800000000000001</v>
      </c>
    </row>
    <row r="131" spans="1:20" ht="39.950000000000003" customHeight="1" x14ac:dyDescent="0.25">
      <c r="A131" s="17" t="s">
        <v>266</v>
      </c>
      <c r="B131" s="18" t="s">
        <v>708</v>
      </c>
      <c r="C131" s="313" t="s">
        <v>431</v>
      </c>
      <c r="D131" s="313">
        <v>17039</v>
      </c>
      <c r="E131" s="313" t="s">
        <v>926</v>
      </c>
      <c r="F131" s="16">
        <v>0.9</v>
      </c>
      <c r="G131" s="16">
        <v>1.1200000000000001</v>
      </c>
      <c r="H131" s="16">
        <v>1.1200000000000001</v>
      </c>
      <c r="I131" s="313" t="s">
        <v>924</v>
      </c>
      <c r="J131" s="16">
        <v>0</v>
      </c>
      <c r="K131" s="16">
        <v>1.9100000000000001E-4</v>
      </c>
      <c r="L131" s="16">
        <v>1.9100000000000001E-4</v>
      </c>
      <c r="M131" s="313" t="s">
        <v>924</v>
      </c>
      <c r="N131" s="16">
        <v>0</v>
      </c>
      <c r="O131" s="16">
        <v>1.22E-4</v>
      </c>
      <c r="P131" s="16">
        <v>1.22E-4</v>
      </c>
      <c r="Q131" s="313" t="s">
        <v>924</v>
      </c>
      <c r="R131" s="16">
        <v>0</v>
      </c>
      <c r="S131" s="16">
        <v>1.4100000000000001E-4</v>
      </c>
      <c r="T131" s="16">
        <v>1.4100000000000001E-4</v>
      </c>
    </row>
    <row r="132" spans="1:20" ht="39.950000000000003" customHeight="1" x14ac:dyDescent="0.25">
      <c r="A132" s="17" t="s">
        <v>267</v>
      </c>
      <c r="B132" s="18" t="s">
        <v>709</v>
      </c>
      <c r="C132" s="313" t="s">
        <v>431</v>
      </c>
      <c r="D132" s="313">
        <v>17039</v>
      </c>
      <c r="E132" s="313" t="s">
        <v>920</v>
      </c>
      <c r="F132" s="16">
        <v>2.0699999999999998</v>
      </c>
      <c r="G132" s="16">
        <v>2.590001</v>
      </c>
      <c r="H132" s="16">
        <v>2.590001</v>
      </c>
      <c r="I132" s="313" t="s">
        <v>921</v>
      </c>
      <c r="J132" s="16">
        <v>1.35</v>
      </c>
      <c r="K132" s="16">
        <v>1.69</v>
      </c>
      <c r="L132" s="16">
        <v>1.69</v>
      </c>
      <c r="M132" s="313" t="s">
        <v>922</v>
      </c>
      <c r="N132" s="16">
        <v>1.39</v>
      </c>
      <c r="O132" s="16">
        <v>1.57</v>
      </c>
      <c r="P132" s="16">
        <v>1.57</v>
      </c>
      <c r="Q132" s="313" t="s">
        <v>922</v>
      </c>
      <c r="R132" s="16">
        <v>0.35</v>
      </c>
      <c r="S132" s="16">
        <v>0.40699999999999997</v>
      </c>
      <c r="T132" s="16">
        <v>0.40699999999999997</v>
      </c>
    </row>
    <row r="133" spans="1:20" ht="39.950000000000003" customHeight="1" x14ac:dyDescent="0.25">
      <c r="A133" s="17" t="s">
        <v>261</v>
      </c>
      <c r="B133" s="18" t="s">
        <v>710</v>
      </c>
      <c r="C133" s="313" t="s">
        <v>431</v>
      </c>
      <c r="D133" s="313">
        <v>17039</v>
      </c>
      <c r="E133" s="313" t="s">
        <v>920</v>
      </c>
      <c r="F133" s="16">
        <v>1.55</v>
      </c>
      <c r="G133" s="16">
        <v>1.94</v>
      </c>
      <c r="H133" s="16">
        <v>1.94</v>
      </c>
      <c r="I133" s="313" t="s">
        <v>921</v>
      </c>
      <c r="J133" s="16">
        <v>1.88</v>
      </c>
      <c r="K133" s="16">
        <v>2.36</v>
      </c>
      <c r="L133" s="16">
        <v>2.36</v>
      </c>
      <c r="M133" s="313" t="s">
        <v>924</v>
      </c>
      <c r="N133" s="16">
        <v>0</v>
      </c>
      <c r="O133" s="16">
        <v>1.3300000000000001E-4</v>
      </c>
      <c r="P133" s="16">
        <v>1.3300000000000001E-4</v>
      </c>
      <c r="Q133" s="313" t="s">
        <v>924</v>
      </c>
      <c r="R133" s="16">
        <v>0</v>
      </c>
      <c r="S133" s="16">
        <v>1.5200000000000001E-4</v>
      </c>
      <c r="T133" s="16">
        <v>1.5200000000000001E-4</v>
      </c>
    </row>
    <row r="134" spans="1:20" ht="39.950000000000003" customHeight="1" x14ac:dyDescent="0.25">
      <c r="A134" s="17" t="s">
        <v>383</v>
      </c>
      <c r="B134" s="18" t="s">
        <v>711</v>
      </c>
      <c r="C134" s="313" t="s">
        <v>431</v>
      </c>
      <c r="D134" s="313">
        <v>17039</v>
      </c>
      <c r="E134" s="313" t="s">
        <v>924</v>
      </c>
      <c r="F134" s="16">
        <v>0</v>
      </c>
      <c r="G134" s="16">
        <v>1.0399999999999999E-4</v>
      </c>
      <c r="H134" s="16">
        <v>1.0399999999999999E-4</v>
      </c>
      <c r="I134" s="313" t="s">
        <v>924</v>
      </c>
      <c r="J134" s="16">
        <v>0</v>
      </c>
      <c r="K134" s="16">
        <v>2.14E-4</v>
      </c>
      <c r="L134" s="16">
        <v>2.14E-4</v>
      </c>
      <c r="M134" s="313" t="s">
        <v>924</v>
      </c>
      <c r="N134" s="16">
        <v>0</v>
      </c>
      <c r="O134" s="16">
        <v>1.4100000000000001E-4</v>
      </c>
      <c r="P134" s="16">
        <v>1.4100000000000001E-4</v>
      </c>
      <c r="Q134" s="313" t="s">
        <v>920</v>
      </c>
      <c r="R134" s="16">
        <v>0.18099999999999999</v>
      </c>
      <c r="S134" s="16">
        <v>0.21099999999999999</v>
      </c>
      <c r="T134" s="16">
        <v>0.21099999999999999</v>
      </c>
    </row>
    <row r="135" spans="1:20" ht="39.950000000000003" customHeight="1" x14ac:dyDescent="0.25">
      <c r="A135" s="17" t="s">
        <v>517</v>
      </c>
      <c r="B135" s="18" t="s">
        <v>712</v>
      </c>
      <c r="C135" s="313" t="s">
        <v>431</v>
      </c>
      <c r="D135" s="313">
        <v>17039</v>
      </c>
      <c r="E135" s="313" t="s">
        <v>926</v>
      </c>
      <c r="F135" s="16">
        <v>0.55000000000000004</v>
      </c>
      <c r="G135" s="16">
        <v>0.69000399999999995</v>
      </c>
      <c r="H135" s="16">
        <v>0.69000399999999995</v>
      </c>
      <c r="I135" s="313" t="s">
        <v>924</v>
      </c>
      <c r="J135" s="16">
        <v>0</v>
      </c>
      <c r="K135" s="16">
        <v>2.1900000000000001E-4</v>
      </c>
      <c r="L135" s="16">
        <v>2.1900000000000001E-4</v>
      </c>
      <c r="M135" s="313" t="s">
        <v>920</v>
      </c>
      <c r="N135" s="16">
        <v>0.37</v>
      </c>
      <c r="O135" s="16">
        <v>0.42</v>
      </c>
      <c r="P135" s="16">
        <v>0.42</v>
      </c>
      <c r="Q135" s="313" t="s">
        <v>924</v>
      </c>
      <c r="R135" s="16">
        <v>0</v>
      </c>
      <c r="S135" s="16">
        <v>1.64E-4</v>
      </c>
      <c r="T135" s="16">
        <v>1.64E-4</v>
      </c>
    </row>
    <row r="136" spans="1:20" ht="39.950000000000003" customHeight="1" x14ac:dyDescent="0.25">
      <c r="A136" s="17" t="s">
        <v>387</v>
      </c>
      <c r="B136" s="18" t="s">
        <v>713</v>
      </c>
      <c r="C136" s="313" t="s">
        <v>431</v>
      </c>
      <c r="D136" s="313">
        <v>17039</v>
      </c>
      <c r="E136" s="313" t="s">
        <v>924</v>
      </c>
      <c r="F136" s="16">
        <v>0</v>
      </c>
      <c r="G136" s="16">
        <v>1.0900000000000001E-4</v>
      </c>
      <c r="H136" s="16">
        <v>1.0900000000000001E-4</v>
      </c>
      <c r="I136" s="313" t="s">
        <v>924</v>
      </c>
      <c r="J136" s="16">
        <v>0</v>
      </c>
      <c r="K136" s="16">
        <v>2.23E-4</v>
      </c>
      <c r="L136" s="16">
        <v>2.23E-4</v>
      </c>
      <c r="M136" s="313" t="s">
        <v>924</v>
      </c>
      <c r="N136" s="16">
        <v>0</v>
      </c>
      <c r="O136" s="16">
        <v>1.4799999999999999E-4</v>
      </c>
      <c r="P136" s="16">
        <v>1.4799999999999999E-4</v>
      </c>
      <c r="Q136" s="313" t="s">
        <v>924</v>
      </c>
      <c r="R136" s="16">
        <v>0</v>
      </c>
      <c r="S136" s="16">
        <v>1.6799999999999999E-4</v>
      </c>
      <c r="T136" s="16">
        <v>1.6799999999999999E-4</v>
      </c>
    </row>
    <row r="137" spans="1:20" ht="39.950000000000003" customHeight="1" x14ac:dyDescent="0.25">
      <c r="A137" s="17" t="s">
        <v>324</v>
      </c>
      <c r="B137" s="18" t="s">
        <v>714</v>
      </c>
      <c r="C137" s="313" t="s">
        <v>431</v>
      </c>
      <c r="D137" s="313">
        <v>17039</v>
      </c>
      <c r="E137" s="313" t="s">
        <v>926</v>
      </c>
      <c r="F137" s="16">
        <v>0.7</v>
      </c>
      <c r="G137" s="16">
        <v>0.88</v>
      </c>
      <c r="H137" s="16">
        <v>0.88</v>
      </c>
      <c r="I137" s="313" t="s">
        <v>924</v>
      </c>
      <c r="J137" s="16">
        <v>0</v>
      </c>
      <c r="K137" s="16">
        <v>2.2699999999999999E-4</v>
      </c>
      <c r="L137" s="16">
        <v>2.2699999999999999E-4</v>
      </c>
      <c r="M137" s="313" t="s">
        <v>920</v>
      </c>
      <c r="N137" s="16">
        <v>0.66</v>
      </c>
      <c r="O137" s="16">
        <v>0.74</v>
      </c>
      <c r="P137" s="16">
        <v>0.74</v>
      </c>
      <c r="Q137" s="313" t="s">
        <v>921</v>
      </c>
      <c r="R137" s="16">
        <v>0.20200000000000001</v>
      </c>
      <c r="S137" s="16">
        <v>0.23499999999999999</v>
      </c>
      <c r="T137" s="16">
        <v>0.23499999999999999</v>
      </c>
    </row>
    <row r="138" spans="1:20" ht="39.950000000000003" customHeight="1" x14ac:dyDescent="0.25">
      <c r="A138" s="17" t="s">
        <v>395</v>
      </c>
      <c r="B138" s="18" t="s">
        <v>764</v>
      </c>
      <c r="C138" s="313" t="s">
        <v>431</v>
      </c>
      <c r="D138" s="313">
        <v>17039</v>
      </c>
      <c r="E138" s="313" t="s">
        <v>923</v>
      </c>
      <c r="F138" s="16">
        <v>1.43</v>
      </c>
      <c r="G138" s="16">
        <v>1.78</v>
      </c>
      <c r="H138" s="16">
        <v>1.78</v>
      </c>
      <c r="I138" s="313" t="s">
        <v>921</v>
      </c>
      <c r="J138" s="16">
        <v>1.37</v>
      </c>
      <c r="K138" s="16">
        <v>1.71</v>
      </c>
      <c r="L138" s="16">
        <v>1.71</v>
      </c>
      <c r="M138" s="313" t="s">
        <v>921</v>
      </c>
      <c r="N138" s="16">
        <v>1.04</v>
      </c>
      <c r="O138" s="16">
        <v>1.17</v>
      </c>
      <c r="P138" s="16">
        <v>1.17</v>
      </c>
      <c r="Q138" s="313" t="s">
        <v>921</v>
      </c>
      <c r="R138" s="16">
        <v>0.26100000000000001</v>
      </c>
      <c r="S138" s="16">
        <v>0.30399999999999999</v>
      </c>
      <c r="T138" s="16">
        <v>0.30399999999999999</v>
      </c>
    </row>
    <row r="139" spans="1:20" ht="39.950000000000003" customHeight="1" x14ac:dyDescent="0.25">
      <c r="A139" s="17" t="s">
        <v>715</v>
      </c>
      <c r="B139" s="18" t="s">
        <v>716</v>
      </c>
      <c r="C139" s="313" t="s">
        <v>431</v>
      </c>
      <c r="D139" s="313">
        <v>17039</v>
      </c>
      <c r="E139" s="313" t="s">
        <v>924</v>
      </c>
      <c r="F139" s="16">
        <v>0</v>
      </c>
      <c r="G139" s="16">
        <v>1.18E-4</v>
      </c>
      <c r="H139" s="16">
        <v>1.18E-4</v>
      </c>
      <c r="I139" s="313" t="s">
        <v>924</v>
      </c>
      <c r="J139" s="16">
        <v>0</v>
      </c>
      <c r="K139" s="16">
        <v>2.41E-4</v>
      </c>
      <c r="L139" s="16">
        <v>2.41E-4</v>
      </c>
      <c r="M139" s="313" t="s">
        <v>924</v>
      </c>
      <c r="N139" s="16">
        <v>0</v>
      </c>
      <c r="O139" s="16">
        <v>1.6000000000000001E-4</v>
      </c>
      <c r="P139" s="16">
        <v>1.6000000000000001E-4</v>
      </c>
      <c r="Q139" s="313" t="s">
        <v>924</v>
      </c>
      <c r="R139" s="16">
        <v>0</v>
      </c>
      <c r="S139" s="16">
        <v>1.83E-4</v>
      </c>
      <c r="T139" s="16">
        <v>1.83E-4</v>
      </c>
    </row>
    <row r="140" spans="1:20" ht="39.950000000000003" customHeight="1" x14ac:dyDescent="0.25">
      <c r="A140" s="17" t="s">
        <v>430</v>
      </c>
      <c r="B140" s="18" t="s">
        <v>717</v>
      </c>
      <c r="C140" s="313" t="s">
        <v>431</v>
      </c>
      <c r="D140" s="313">
        <v>17039</v>
      </c>
      <c r="E140" s="313" t="s">
        <v>924</v>
      </c>
      <c r="F140" s="16">
        <v>0</v>
      </c>
      <c r="G140" s="16">
        <v>1.2E-4</v>
      </c>
      <c r="H140" s="16">
        <v>1.2E-4</v>
      </c>
      <c r="I140" s="313" t="s">
        <v>924</v>
      </c>
      <c r="J140" s="16">
        <v>0</v>
      </c>
      <c r="K140" s="16">
        <v>2.4499999999999999E-4</v>
      </c>
      <c r="L140" s="16">
        <v>2.4499999999999999E-4</v>
      </c>
      <c r="M140" s="313" t="s">
        <v>924</v>
      </c>
      <c r="N140" s="16">
        <v>0</v>
      </c>
      <c r="O140" s="16">
        <v>1.63E-4</v>
      </c>
      <c r="P140" s="16">
        <v>1.63E-4</v>
      </c>
      <c r="Q140" s="313" t="s">
        <v>924</v>
      </c>
      <c r="R140" s="16">
        <v>0</v>
      </c>
      <c r="S140" s="16">
        <v>1.8799999999999999E-4</v>
      </c>
      <c r="T140" s="16">
        <v>1.8799999999999999E-4</v>
      </c>
    </row>
    <row r="141" spans="1:20" ht="39.950000000000003" customHeight="1" x14ac:dyDescent="0.25">
      <c r="A141" s="17" t="s">
        <v>912</v>
      </c>
      <c r="B141" s="18" t="s">
        <v>913</v>
      </c>
      <c r="C141" s="313" t="s">
        <v>435</v>
      </c>
      <c r="D141" s="313">
        <v>17045</v>
      </c>
      <c r="E141" s="313" t="s">
        <v>926</v>
      </c>
      <c r="F141" s="16">
        <v>0</v>
      </c>
      <c r="G141" s="16">
        <v>0.98299999999999998</v>
      </c>
      <c r="H141" s="16">
        <v>0.98299999999999998</v>
      </c>
      <c r="I141" s="313" t="s">
        <v>924</v>
      </c>
      <c r="J141" s="16">
        <v>0</v>
      </c>
      <c r="K141" s="16">
        <v>6.6000000000000005E-5</v>
      </c>
      <c r="L141" s="16">
        <v>6.6000000000000005E-5</v>
      </c>
      <c r="M141" s="313" t="s">
        <v>920</v>
      </c>
      <c r="N141" s="16">
        <v>0</v>
      </c>
      <c r="O141" s="16">
        <v>0.80300000000000005</v>
      </c>
      <c r="P141" s="16">
        <v>0.80300000000000005</v>
      </c>
      <c r="Q141" s="313" t="s">
        <v>924</v>
      </c>
      <c r="R141" s="16">
        <v>0</v>
      </c>
      <c r="S141" s="16">
        <v>4.8000000000000001E-5</v>
      </c>
      <c r="T141" s="16">
        <v>4.8000000000000001E-5</v>
      </c>
    </row>
    <row r="142" spans="1:20" ht="39.950000000000003" customHeight="1" x14ac:dyDescent="0.25">
      <c r="A142" s="17" t="s">
        <v>410</v>
      </c>
      <c r="B142" s="18" t="s">
        <v>718</v>
      </c>
      <c r="C142" s="313" t="s">
        <v>435</v>
      </c>
      <c r="D142" s="313">
        <v>17045</v>
      </c>
      <c r="E142" s="313" t="s">
        <v>926</v>
      </c>
      <c r="F142" s="16">
        <v>0.78</v>
      </c>
      <c r="G142" s="16">
        <v>0.97000200000000003</v>
      </c>
      <c r="H142" s="16">
        <v>0.97000200000000003</v>
      </c>
      <c r="I142" s="313" t="s">
        <v>924</v>
      </c>
      <c r="J142" s="16">
        <v>0</v>
      </c>
      <c r="K142" s="16">
        <v>6.6000000000000005E-5</v>
      </c>
      <c r="L142" s="16">
        <v>6.6000000000000005E-5</v>
      </c>
      <c r="M142" s="313" t="s">
        <v>920</v>
      </c>
      <c r="N142" s="16">
        <v>0.61</v>
      </c>
      <c r="O142" s="16">
        <v>0.69000099999999998</v>
      </c>
      <c r="P142" s="16">
        <v>0.69000099999999998</v>
      </c>
      <c r="Q142" s="313" t="s">
        <v>921</v>
      </c>
      <c r="R142" s="16">
        <v>0.125</v>
      </c>
      <c r="S142" s="16">
        <v>0.14599999999999999</v>
      </c>
      <c r="T142" s="16">
        <v>0.14599999999999999</v>
      </c>
    </row>
    <row r="143" spans="1:20" ht="39.950000000000003" customHeight="1" x14ac:dyDescent="0.25">
      <c r="A143" s="17" t="s">
        <v>719</v>
      </c>
      <c r="B143" s="18" t="s">
        <v>720</v>
      </c>
      <c r="C143" s="313" t="s">
        <v>435</v>
      </c>
      <c r="D143" s="313">
        <v>17045</v>
      </c>
      <c r="E143" s="313" t="s">
        <v>924</v>
      </c>
      <c r="F143" s="16">
        <v>0</v>
      </c>
      <c r="G143" s="16">
        <v>4.0000000000000003E-5</v>
      </c>
      <c r="H143" s="16">
        <v>4.0000000000000003E-5</v>
      </c>
      <c r="I143" s="313" t="s">
        <v>924</v>
      </c>
      <c r="J143" s="16">
        <v>0</v>
      </c>
      <c r="K143" s="16">
        <v>6.8999999999999997E-5</v>
      </c>
      <c r="L143" s="16">
        <v>6.8999999999999997E-5</v>
      </c>
      <c r="M143" s="313" t="s">
        <v>924</v>
      </c>
      <c r="N143" s="16">
        <v>0</v>
      </c>
      <c r="O143" s="16">
        <v>5.0000000000000002E-5</v>
      </c>
      <c r="P143" s="16">
        <v>5.0000000000000002E-5</v>
      </c>
      <c r="Q143" s="313" t="s">
        <v>924</v>
      </c>
      <c r="R143" s="16">
        <v>0</v>
      </c>
      <c r="S143" s="16">
        <v>4.8000000000000001E-5</v>
      </c>
      <c r="T143" s="16">
        <v>4.8000000000000001E-5</v>
      </c>
    </row>
    <row r="144" spans="1:20" ht="39.950000000000003" customHeight="1" x14ac:dyDescent="0.25">
      <c r="A144" s="17" t="s">
        <v>721</v>
      </c>
      <c r="B144" s="18" t="s">
        <v>722</v>
      </c>
      <c r="C144" s="313" t="s">
        <v>435</v>
      </c>
      <c r="D144" s="313">
        <v>17045</v>
      </c>
      <c r="E144" s="313" t="s">
        <v>924</v>
      </c>
      <c r="F144" s="16">
        <v>0</v>
      </c>
      <c r="G144" s="16">
        <v>4.5000000000000003E-5</v>
      </c>
      <c r="H144" s="16">
        <v>4.5000000000000003E-5</v>
      </c>
      <c r="I144" s="313" t="s">
        <v>924</v>
      </c>
      <c r="J144" s="16">
        <v>0</v>
      </c>
      <c r="K144" s="16">
        <v>8.1000000000000004E-5</v>
      </c>
      <c r="L144" s="16">
        <v>8.1000000000000004E-5</v>
      </c>
      <c r="M144" s="313" t="s">
        <v>924</v>
      </c>
      <c r="N144" s="16">
        <v>0</v>
      </c>
      <c r="O144" s="16">
        <v>5.5999999999999999E-5</v>
      </c>
      <c r="P144" s="16">
        <v>5.5999999999999999E-5</v>
      </c>
      <c r="Q144" s="313" t="s">
        <v>924</v>
      </c>
      <c r="R144" s="16">
        <v>0</v>
      </c>
      <c r="S144" s="16">
        <v>5.8E-5</v>
      </c>
      <c r="T144" s="16">
        <v>5.8E-5</v>
      </c>
    </row>
    <row r="145" spans="1:20" ht="39.950000000000003" customHeight="1" x14ac:dyDescent="0.25">
      <c r="A145" s="17" t="s">
        <v>723</v>
      </c>
      <c r="B145" s="18" t="s">
        <v>724</v>
      </c>
      <c r="C145" s="313" t="s">
        <v>435</v>
      </c>
      <c r="D145" s="313">
        <v>17045</v>
      </c>
      <c r="E145" s="313" t="s">
        <v>924</v>
      </c>
      <c r="F145" s="16">
        <v>0</v>
      </c>
      <c r="G145" s="16">
        <v>5.3000000000000001E-5</v>
      </c>
      <c r="H145" s="16">
        <v>5.3000000000000001E-5</v>
      </c>
      <c r="I145" s="313" t="s">
        <v>924</v>
      </c>
      <c r="J145" s="16">
        <v>0</v>
      </c>
      <c r="K145" s="16">
        <v>1.0900000000000001E-4</v>
      </c>
      <c r="L145" s="16">
        <v>1.0900000000000001E-4</v>
      </c>
      <c r="M145" s="313" t="s">
        <v>924</v>
      </c>
      <c r="N145" s="16">
        <v>0</v>
      </c>
      <c r="O145" s="16">
        <v>6.7999999999999999E-5</v>
      </c>
      <c r="P145" s="16">
        <v>6.7999999999999999E-5</v>
      </c>
      <c r="Q145" s="313" t="s">
        <v>924</v>
      </c>
      <c r="R145" s="16">
        <v>0</v>
      </c>
      <c r="S145" s="16">
        <v>7.3999999999999996E-5</v>
      </c>
      <c r="T145" s="16">
        <v>7.3999999999999996E-5</v>
      </c>
    </row>
    <row r="146" spans="1:20" ht="39.950000000000003" customHeight="1" x14ac:dyDescent="0.25">
      <c r="A146" s="17" t="s">
        <v>445</v>
      </c>
      <c r="B146" s="18" t="s">
        <v>725</v>
      </c>
      <c r="C146" s="313" t="s">
        <v>435</v>
      </c>
      <c r="D146" s="313">
        <v>17045</v>
      </c>
      <c r="E146" s="313" t="s">
        <v>924</v>
      </c>
      <c r="F146" s="16">
        <v>0</v>
      </c>
      <c r="G146" s="16">
        <v>5.3999999999999998E-5</v>
      </c>
      <c r="H146" s="16">
        <v>5.3999999999999998E-5</v>
      </c>
      <c r="I146" s="313" t="s">
        <v>924</v>
      </c>
      <c r="J146" s="16">
        <v>0</v>
      </c>
      <c r="K146" s="16">
        <v>1.1E-4</v>
      </c>
      <c r="L146" s="16">
        <v>1.1E-4</v>
      </c>
      <c r="M146" s="313" t="s">
        <v>924</v>
      </c>
      <c r="N146" s="16">
        <v>0</v>
      </c>
      <c r="O146" s="16">
        <v>6.9999999999999994E-5</v>
      </c>
      <c r="P146" s="16">
        <v>6.9999999999999994E-5</v>
      </c>
      <c r="Q146" s="313" t="s">
        <v>924</v>
      </c>
      <c r="R146" s="16">
        <v>0</v>
      </c>
      <c r="S146" s="16">
        <v>7.6000000000000004E-5</v>
      </c>
      <c r="T146" s="16">
        <v>7.6000000000000004E-5</v>
      </c>
    </row>
    <row r="147" spans="1:20" ht="39.950000000000003" customHeight="1" x14ac:dyDescent="0.25">
      <c r="A147" s="17" t="s">
        <v>396</v>
      </c>
      <c r="B147" s="18" t="s">
        <v>726</v>
      </c>
      <c r="C147" s="313" t="s">
        <v>435</v>
      </c>
      <c r="D147" s="313">
        <v>17045</v>
      </c>
      <c r="E147" s="313" t="s">
        <v>924</v>
      </c>
      <c r="F147" s="16">
        <v>0</v>
      </c>
      <c r="G147" s="16">
        <v>6.0999999999999999E-5</v>
      </c>
      <c r="H147" s="16">
        <v>6.0999999999999999E-5</v>
      </c>
      <c r="I147" s="313" t="s">
        <v>924</v>
      </c>
      <c r="J147" s="16">
        <v>0</v>
      </c>
      <c r="K147" s="16">
        <v>1.2300000000000001E-4</v>
      </c>
      <c r="L147" s="16">
        <v>1.2300000000000001E-4</v>
      </c>
      <c r="M147" s="313" t="s">
        <v>920</v>
      </c>
      <c r="N147" s="16">
        <v>0.64</v>
      </c>
      <c r="O147" s="16">
        <v>0.720001</v>
      </c>
      <c r="P147" s="16">
        <v>0.720001</v>
      </c>
      <c r="Q147" s="313" t="s">
        <v>924</v>
      </c>
      <c r="R147" s="16">
        <v>0</v>
      </c>
      <c r="S147" s="16">
        <v>8.7000000000000001E-5</v>
      </c>
      <c r="T147" s="16">
        <v>8.7000000000000001E-5</v>
      </c>
    </row>
    <row r="148" spans="1:20" ht="39.950000000000003" customHeight="1" x14ac:dyDescent="0.25">
      <c r="A148" s="313" t="s">
        <v>327</v>
      </c>
      <c r="B148" s="18" t="s">
        <v>727</v>
      </c>
      <c r="C148" s="313" t="s">
        <v>435</v>
      </c>
      <c r="D148" s="313">
        <v>17045</v>
      </c>
      <c r="E148" s="313" t="s">
        <v>926</v>
      </c>
      <c r="F148" s="16">
        <v>0.77</v>
      </c>
      <c r="G148" s="16">
        <v>0.96000099999999999</v>
      </c>
      <c r="H148" s="16">
        <v>0.96000099999999999</v>
      </c>
      <c r="I148" s="313" t="s">
        <v>924</v>
      </c>
      <c r="J148" s="16">
        <v>0</v>
      </c>
      <c r="K148" s="16">
        <v>1.3300000000000001E-4</v>
      </c>
      <c r="L148" s="16">
        <v>1.3300000000000001E-4</v>
      </c>
      <c r="M148" s="313" t="s">
        <v>920</v>
      </c>
      <c r="N148" s="16">
        <v>0</v>
      </c>
      <c r="O148" s="16">
        <v>0.65700000000000003</v>
      </c>
      <c r="P148" s="16">
        <v>0.65700000000000003</v>
      </c>
      <c r="Q148" s="313" t="s">
        <v>920</v>
      </c>
      <c r="R148" s="16">
        <v>0.14000000000000001</v>
      </c>
      <c r="S148" s="16">
        <v>0.16200100000000001</v>
      </c>
      <c r="T148" s="16">
        <v>0.16200100000000001</v>
      </c>
    </row>
    <row r="149" spans="1:20" ht="39.950000000000003" customHeight="1" x14ac:dyDescent="0.25">
      <c r="A149" s="313" t="s">
        <v>378</v>
      </c>
      <c r="B149" s="18" t="s">
        <v>728</v>
      </c>
      <c r="C149" s="313" t="s">
        <v>435</v>
      </c>
      <c r="D149" s="313">
        <v>17045</v>
      </c>
      <c r="E149" s="313" t="s">
        <v>924</v>
      </c>
      <c r="F149" s="16">
        <v>0</v>
      </c>
      <c r="G149" s="16">
        <v>8.3999999999999995E-5</v>
      </c>
      <c r="H149" s="16">
        <v>8.3999999999999995E-5</v>
      </c>
      <c r="I149" s="313" t="s">
        <v>924</v>
      </c>
      <c r="J149" s="16">
        <v>0</v>
      </c>
      <c r="K149" s="16">
        <v>1.7799999999999999E-4</v>
      </c>
      <c r="L149" s="16">
        <v>1.7799999999999999E-4</v>
      </c>
      <c r="M149" s="313" t="s">
        <v>924</v>
      </c>
      <c r="N149" s="16">
        <v>0</v>
      </c>
      <c r="O149" s="16">
        <v>1.13E-4</v>
      </c>
      <c r="P149" s="16">
        <v>1.13E-4</v>
      </c>
      <c r="Q149" s="313" t="s">
        <v>924</v>
      </c>
      <c r="R149" s="16">
        <v>0</v>
      </c>
      <c r="S149" s="16">
        <v>1.2999999999999999E-4</v>
      </c>
      <c r="T149" s="16">
        <v>1.2999999999999999E-4</v>
      </c>
    </row>
    <row r="150" spans="1:20" ht="39.950000000000003" customHeight="1" x14ac:dyDescent="0.25">
      <c r="A150" s="313" t="s">
        <v>518</v>
      </c>
      <c r="B150" s="18" t="s">
        <v>729</v>
      </c>
      <c r="C150" s="313" t="s">
        <v>435</v>
      </c>
      <c r="D150" s="313">
        <v>17045</v>
      </c>
      <c r="E150" s="313" t="s">
        <v>924</v>
      </c>
      <c r="F150" s="16">
        <v>0</v>
      </c>
      <c r="G150" s="16">
        <v>8.5000000000000006E-5</v>
      </c>
      <c r="H150" s="16">
        <v>8.5000000000000006E-5</v>
      </c>
      <c r="I150" s="313" t="s">
        <v>924</v>
      </c>
      <c r="J150" s="16">
        <v>0</v>
      </c>
      <c r="K150" s="16">
        <v>1.8000000000000001E-4</v>
      </c>
      <c r="L150" s="16">
        <v>1.8000000000000001E-4</v>
      </c>
      <c r="M150" s="313" t="s">
        <v>920</v>
      </c>
      <c r="N150" s="16">
        <v>0.47</v>
      </c>
      <c r="O150" s="16">
        <v>0.53000100000000006</v>
      </c>
      <c r="P150" s="16">
        <v>0.53000100000000006</v>
      </c>
      <c r="Q150" s="313" t="s">
        <v>920</v>
      </c>
      <c r="R150" s="16">
        <v>0.16500000000000001</v>
      </c>
      <c r="S150" s="16">
        <v>0.192</v>
      </c>
      <c r="T150" s="16">
        <v>0.192</v>
      </c>
    </row>
    <row r="151" spans="1:20" ht="39.950000000000003" customHeight="1" x14ac:dyDescent="0.25">
      <c r="A151" s="17" t="s">
        <v>519</v>
      </c>
      <c r="B151" s="18" t="s">
        <v>730</v>
      </c>
      <c r="C151" s="313" t="s">
        <v>435</v>
      </c>
      <c r="D151" s="313">
        <v>17045</v>
      </c>
      <c r="E151" s="313" t="s">
        <v>924</v>
      </c>
      <c r="F151" s="16">
        <v>0</v>
      </c>
      <c r="G151" s="16">
        <v>9.6000000000000002E-5</v>
      </c>
      <c r="H151" s="16">
        <v>9.6000000000000002E-5</v>
      </c>
      <c r="I151" s="313" t="s">
        <v>924</v>
      </c>
      <c r="J151" s="16">
        <v>0</v>
      </c>
      <c r="K151" s="16">
        <v>2.02E-4</v>
      </c>
      <c r="L151" s="16">
        <v>2.02E-4</v>
      </c>
      <c r="M151" s="313" t="s">
        <v>924</v>
      </c>
      <c r="N151" s="16">
        <v>0</v>
      </c>
      <c r="O151" s="16">
        <v>1.3200000000000001E-4</v>
      </c>
      <c r="P151" s="16">
        <v>1.3200000000000001E-4</v>
      </c>
      <c r="Q151" s="313" t="s">
        <v>924</v>
      </c>
      <c r="R151" s="16">
        <v>0</v>
      </c>
      <c r="S151" s="16">
        <v>1.5100000000000001E-4</v>
      </c>
      <c r="T151" s="16">
        <v>1.5100000000000001E-4</v>
      </c>
    </row>
    <row r="152" spans="1:20" ht="39.950000000000003" customHeight="1" x14ac:dyDescent="0.25">
      <c r="A152" s="313" t="s">
        <v>520</v>
      </c>
      <c r="B152" s="18" t="s">
        <v>731</v>
      </c>
      <c r="C152" s="313" t="s">
        <v>435</v>
      </c>
      <c r="D152" s="313">
        <v>17045</v>
      </c>
      <c r="E152" s="313" t="s">
        <v>926</v>
      </c>
      <c r="F152" s="16">
        <v>0</v>
      </c>
      <c r="G152" s="16">
        <v>0.57799999999999996</v>
      </c>
      <c r="H152" s="16">
        <v>0.57799999999999996</v>
      </c>
      <c r="I152" s="313" t="s">
        <v>924</v>
      </c>
      <c r="J152" s="16">
        <v>0</v>
      </c>
      <c r="K152" s="16">
        <v>2.03E-4</v>
      </c>
      <c r="L152" s="16">
        <v>2.03E-4</v>
      </c>
      <c r="M152" s="313" t="s">
        <v>924</v>
      </c>
      <c r="N152" s="16">
        <v>0</v>
      </c>
      <c r="O152" s="16">
        <v>1.34E-4</v>
      </c>
      <c r="P152" s="16">
        <v>1.34E-4</v>
      </c>
      <c r="Q152" s="313" t="s">
        <v>924</v>
      </c>
      <c r="R152" s="16">
        <v>0</v>
      </c>
      <c r="S152" s="16">
        <v>1.5300000000000001E-4</v>
      </c>
      <c r="T152" s="16">
        <v>1.5300000000000001E-4</v>
      </c>
    </row>
    <row r="153" spans="1:20" ht="39.950000000000003" customHeight="1" x14ac:dyDescent="0.25">
      <c r="A153" s="17" t="s">
        <v>486</v>
      </c>
      <c r="B153" s="18" t="s">
        <v>591</v>
      </c>
      <c r="C153" s="313" t="s">
        <v>435</v>
      </c>
      <c r="D153" s="313">
        <v>17045</v>
      </c>
      <c r="E153" s="313" t="s">
        <v>923</v>
      </c>
      <c r="F153" s="16">
        <v>1.31</v>
      </c>
      <c r="G153" s="16">
        <v>1.64</v>
      </c>
      <c r="H153" s="16">
        <v>1.64</v>
      </c>
      <c r="I153" s="313" t="s">
        <v>924</v>
      </c>
      <c r="J153" s="16">
        <v>0</v>
      </c>
      <c r="K153" s="16">
        <v>2.0799999999999999E-4</v>
      </c>
      <c r="L153" s="16">
        <v>2.0799999999999999E-4</v>
      </c>
      <c r="M153" s="313" t="s">
        <v>921</v>
      </c>
      <c r="N153" s="16">
        <v>0.96</v>
      </c>
      <c r="O153" s="16">
        <v>1.08</v>
      </c>
      <c r="P153" s="16">
        <v>1.08</v>
      </c>
      <c r="Q153" s="313" t="s">
        <v>924</v>
      </c>
      <c r="R153" s="16">
        <v>0</v>
      </c>
      <c r="S153" s="16">
        <v>1.5699999999999999E-4</v>
      </c>
      <c r="T153" s="16">
        <v>1.5699999999999999E-4</v>
      </c>
    </row>
    <row r="154" spans="1:20" ht="39.950000000000003" customHeight="1" x14ac:dyDescent="0.25">
      <c r="A154" s="313" t="s">
        <v>286</v>
      </c>
      <c r="B154" s="18" t="s">
        <v>732</v>
      </c>
      <c r="C154" s="313" t="s">
        <v>435</v>
      </c>
      <c r="D154" s="313">
        <v>17045</v>
      </c>
      <c r="E154" s="313" t="s">
        <v>923</v>
      </c>
      <c r="F154" s="16">
        <v>0.97</v>
      </c>
      <c r="G154" s="16">
        <v>1.22</v>
      </c>
      <c r="H154" s="16">
        <v>1.22</v>
      </c>
      <c r="I154" s="313" t="s">
        <v>924</v>
      </c>
      <c r="J154" s="16">
        <v>0</v>
      </c>
      <c r="K154" s="16">
        <v>2.1000000000000001E-4</v>
      </c>
      <c r="L154" s="16">
        <v>2.1000000000000001E-4</v>
      </c>
      <c r="M154" s="313" t="s">
        <v>921</v>
      </c>
      <c r="N154" s="16">
        <v>0.8</v>
      </c>
      <c r="O154" s="16">
        <v>0.9</v>
      </c>
      <c r="P154" s="16">
        <v>0.9</v>
      </c>
      <c r="Q154" s="313" t="s">
        <v>920</v>
      </c>
      <c r="R154" s="16">
        <v>0.161</v>
      </c>
      <c r="S154" s="16">
        <v>0.187</v>
      </c>
      <c r="T154" s="16">
        <v>0.187</v>
      </c>
    </row>
    <row r="155" spans="1:20" ht="39.950000000000003" customHeight="1" x14ac:dyDescent="0.25">
      <c r="A155" s="313" t="s">
        <v>521</v>
      </c>
      <c r="B155" s="18" t="s">
        <v>733</v>
      </c>
      <c r="C155" s="313" t="s">
        <v>435</v>
      </c>
      <c r="D155" s="313">
        <v>17045</v>
      </c>
      <c r="E155" s="313" t="s">
        <v>924</v>
      </c>
      <c r="F155" s="16">
        <v>0</v>
      </c>
      <c r="G155" s="16">
        <v>1.03E-4</v>
      </c>
      <c r="H155" s="16">
        <v>1.03E-4</v>
      </c>
      <c r="I155" s="313" t="s">
        <v>924</v>
      </c>
      <c r="J155" s="16">
        <v>0</v>
      </c>
      <c r="K155" s="16">
        <v>2.12E-4</v>
      </c>
      <c r="L155" s="16">
        <v>2.12E-4</v>
      </c>
      <c r="M155" s="313" t="s">
        <v>924</v>
      </c>
      <c r="N155" s="16">
        <v>0</v>
      </c>
      <c r="O155" s="16">
        <v>1.3999999999999999E-4</v>
      </c>
      <c r="P155" s="16">
        <v>1.3999999999999999E-4</v>
      </c>
      <c r="Q155" s="313" t="s">
        <v>924</v>
      </c>
      <c r="R155" s="16">
        <v>0</v>
      </c>
      <c r="S155" s="16">
        <v>1.5899999999999999E-4</v>
      </c>
      <c r="T155" s="16">
        <v>1.5899999999999999E-4</v>
      </c>
    </row>
    <row r="156" spans="1:20" ht="39.950000000000003" customHeight="1" x14ac:dyDescent="0.25">
      <c r="A156" s="313" t="s">
        <v>734</v>
      </c>
      <c r="B156" s="18" t="s">
        <v>735</v>
      </c>
      <c r="C156" s="313" t="s">
        <v>435</v>
      </c>
      <c r="D156" s="313">
        <v>17045</v>
      </c>
      <c r="E156" s="313" t="s">
        <v>924</v>
      </c>
      <c r="F156" s="16">
        <v>0</v>
      </c>
      <c r="G156" s="16">
        <v>1.08E-4</v>
      </c>
      <c r="H156" s="16">
        <v>1.08E-4</v>
      </c>
      <c r="I156" s="313" t="s">
        <v>924</v>
      </c>
      <c r="J156" s="16">
        <v>0</v>
      </c>
      <c r="K156" s="16">
        <v>2.22E-4</v>
      </c>
      <c r="L156" s="16">
        <v>2.22E-4</v>
      </c>
      <c r="M156" s="313" t="s">
        <v>924</v>
      </c>
      <c r="N156" s="16">
        <v>0</v>
      </c>
      <c r="O156" s="16">
        <v>1.47E-4</v>
      </c>
      <c r="P156" s="16">
        <v>1.47E-4</v>
      </c>
      <c r="Q156" s="313" t="s">
        <v>924</v>
      </c>
      <c r="R156" s="16">
        <v>0</v>
      </c>
      <c r="S156" s="16">
        <v>1.6699999999999999E-4</v>
      </c>
      <c r="T156" s="16">
        <v>1.6699999999999999E-4</v>
      </c>
    </row>
    <row r="157" spans="1:20" ht="39.950000000000003" customHeight="1" x14ac:dyDescent="0.25">
      <c r="A157" s="17" t="s">
        <v>736</v>
      </c>
      <c r="B157" s="18" t="s">
        <v>737</v>
      </c>
      <c r="C157" s="313" t="s">
        <v>435</v>
      </c>
      <c r="D157" s="313">
        <v>17045</v>
      </c>
      <c r="E157" s="313" t="s">
        <v>924</v>
      </c>
      <c r="F157" s="16">
        <v>0</v>
      </c>
      <c r="G157" s="16">
        <v>1.1400000000000001E-4</v>
      </c>
      <c r="H157" s="16">
        <v>1.1400000000000001E-4</v>
      </c>
      <c r="I157" s="313" t="s">
        <v>924</v>
      </c>
      <c r="J157" s="16">
        <v>0</v>
      </c>
      <c r="K157" s="16">
        <v>2.32E-4</v>
      </c>
      <c r="L157" s="16">
        <v>2.32E-4</v>
      </c>
      <c r="M157" s="313" t="s">
        <v>924</v>
      </c>
      <c r="N157" s="16">
        <v>0</v>
      </c>
      <c r="O157" s="16">
        <v>1.54E-4</v>
      </c>
      <c r="P157" s="16">
        <v>1.54E-4</v>
      </c>
      <c r="Q157" s="313" t="s">
        <v>924</v>
      </c>
      <c r="R157" s="16">
        <v>0</v>
      </c>
      <c r="S157" s="16">
        <v>1.76E-4</v>
      </c>
      <c r="T157" s="16">
        <v>1.76E-4</v>
      </c>
    </row>
    <row r="158" spans="1:20" ht="39.950000000000003" customHeight="1" x14ac:dyDescent="0.25">
      <c r="A158" s="313" t="s">
        <v>522</v>
      </c>
      <c r="B158" s="18" t="s">
        <v>738</v>
      </c>
      <c r="C158" s="313" t="s">
        <v>435</v>
      </c>
      <c r="D158" s="313">
        <v>17045</v>
      </c>
      <c r="E158" s="313" t="s">
        <v>926</v>
      </c>
      <c r="F158" s="16">
        <v>0.55000000000000004</v>
      </c>
      <c r="G158" s="16">
        <v>0.69</v>
      </c>
      <c r="H158" s="16">
        <v>0.69</v>
      </c>
      <c r="I158" s="313" t="s">
        <v>924</v>
      </c>
      <c r="J158" s="16">
        <v>0</v>
      </c>
      <c r="K158" s="16">
        <v>2.33E-4</v>
      </c>
      <c r="L158" s="16">
        <v>2.33E-4</v>
      </c>
      <c r="M158" s="313" t="s">
        <v>924</v>
      </c>
      <c r="N158" s="16">
        <v>0</v>
      </c>
      <c r="O158" s="16">
        <v>1.55E-4</v>
      </c>
      <c r="P158" s="16">
        <v>1.55E-4</v>
      </c>
      <c r="Q158" s="313" t="s">
        <v>924</v>
      </c>
      <c r="R158" s="16">
        <v>0</v>
      </c>
      <c r="S158" s="16">
        <v>1.7699999999999999E-4</v>
      </c>
      <c r="T158" s="16">
        <v>1.7699999999999999E-4</v>
      </c>
    </row>
    <row r="159" spans="1:20" ht="39.950000000000003" customHeight="1" x14ac:dyDescent="0.25">
      <c r="A159" s="17" t="s">
        <v>489</v>
      </c>
      <c r="B159" s="18" t="s">
        <v>739</v>
      </c>
      <c r="C159" s="313" t="s">
        <v>435</v>
      </c>
      <c r="D159" s="313">
        <v>17045</v>
      </c>
      <c r="E159" s="313" t="s">
        <v>926</v>
      </c>
      <c r="F159" s="16">
        <v>0.94</v>
      </c>
      <c r="G159" s="16">
        <v>1.18</v>
      </c>
      <c r="H159" s="16">
        <v>1.18</v>
      </c>
      <c r="I159" s="313" t="s">
        <v>924</v>
      </c>
      <c r="J159" s="16">
        <v>0</v>
      </c>
      <c r="K159" s="16">
        <v>2.34E-4</v>
      </c>
      <c r="L159" s="16">
        <v>2.34E-4</v>
      </c>
      <c r="M159" s="313" t="s">
        <v>924</v>
      </c>
      <c r="N159" s="16">
        <v>0</v>
      </c>
      <c r="O159" s="16">
        <v>1.56E-4</v>
      </c>
      <c r="P159" s="16">
        <v>1.56E-4</v>
      </c>
      <c r="Q159" s="313" t="s">
        <v>924</v>
      </c>
      <c r="R159" s="16">
        <v>0</v>
      </c>
      <c r="S159" s="16">
        <v>1.7799999999999999E-4</v>
      </c>
      <c r="T159" s="16">
        <v>1.7799999999999999E-4</v>
      </c>
    </row>
    <row r="160" spans="1:20" ht="39.950000000000003" customHeight="1" x14ac:dyDescent="0.25">
      <c r="A160" s="17" t="s">
        <v>523</v>
      </c>
      <c r="B160" s="18" t="s">
        <v>740</v>
      </c>
      <c r="C160" s="313" t="s">
        <v>435</v>
      </c>
      <c r="D160" s="313">
        <v>17045</v>
      </c>
      <c r="E160" s="313" t="s">
        <v>924</v>
      </c>
      <c r="F160" s="16">
        <v>0</v>
      </c>
      <c r="G160" s="16">
        <v>1.16E-4</v>
      </c>
      <c r="H160" s="16">
        <v>1.16E-4</v>
      </c>
      <c r="I160" s="313" t="s">
        <v>924</v>
      </c>
      <c r="J160" s="16">
        <v>0</v>
      </c>
      <c r="K160" s="16">
        <v>2.3699999999999999E-4</v>
      </c>
      <c r="L160" s="16">
        <v>2.3699999999999999E-4</v>
      </c>
      <c r="M160" s="313" t="s">
        <v>924</v>
      </c>
      <c r="N160" s="16">
        <v>0</v>
      </c>
      <c r="O160" s="16">
        <v>1.5799999999999999E-4</v>
      </c>
      <c r="P160" s="16">
        <v>1.5799999999999999E-4</v>
      </c>
      <c r="Q160" s="313" t="s">
        <v>924</v>
      </c>
      <c r="R160" s="16">
        <v>0</v>
      </c>
      <c r="S160" s="16">
        <v>1.8000000000000001E-4</v>
      </c>
      <c r="T160" s="16">
        <v>1.8000000000000001E-4</v>
      </c>
    </row>
    <row r="161" spans="1:20" ht="39.950000000000003" customHeight="1" x14ac:dyDescent="0.25">
      <c r="A161" s="313" t="s">
        <v>307</v>
      </c>
      <c r="B161" s="18" t="s">
        <v>741</v>
      </c>
      <c r="C161" s="313" t="s">
        <v>436</v>
      </c>
      <c r="D161" s="313">
        <v>17031</v>
      </c>
      <c r="E161" s="313" t="s">
        <v>923</v>
      </c>
      <c r="F161" s="16">
        <v>1.58</v>
      </c>
      <c r="G161" s="16">
        <v>1.98</v>
      </c>
      <c r="H161" s="16">
        <v>1.98</v>
      </c>
      <c r="I161" s="313" t="s">
        <v>924</v>
      </c>
      <c r="J161" s="16">
        <v>0</v>
      </c>
      <c r="K161" s="16">
        <v>2.1999999999999999E-5</v>
      </c>
      <c r="L161" s="16">
        <v>2.1999999999999999E-5</v>
      </c>
      <c r="M161" s="313" t="s">
        <v>921</v>
      </c>
      <c r="N161" s="16">
        <v>1.19</v>
      </c>
      <c r="O161" s="16">
        <v>1.34</v>
      </c>
      <c r="P161" s="16">
        <v>1.34</v>
      </c>
      <c r="Q161" s="313" t="s">
        <v>921</v>
      </c>
      <c r="R161" s="16">
        <v>0.26</v>
      </c>
      <c r="S161" s="16">
        <v>0.30300100000000002</v>
      </c>
      <c r="T161" s="16">
        <v>0.30300100000000002</v>
      </c>
    </row>
    <row r="162" spans="1:20" ht="39.950000000000003" customHeight="1" x14ac:dyDescent="0.25">
      <c r="A162" s="313" t="s">
        <v>490</v>
      </c>
      <c r="B162" s="18" t="s">
        <v>742</v>
      </c>
      <c r="C162" s="313" t="s">
        <v>436</v>
      </c>
      <c r="D162" s="313">
        <v>17031</v>
      </c>
      <c r="E162" s="313" t="s">
        <v>923</v>
      </c>
      <c r="F162" s="16">
        <v>1.18</v>
      </c>
      <c r="G162" s="16">
        <v>1.48</v>
      </c>
      <c r="H162" s="16">
        <v>1.48</v>
      </c>
      <c r="I162" s="313" t="s">
        <v>924</v>
      </c>
      <c r="J162" s="16">
        <v>0</v>
      </c>
      <c r="K162" s="16">
        <v>2.4000000000000001E-5</v>
      </c>
      <c r="L162" s="16">
        <v>2.4000000000000001E-5</v>
      </c>
      <c r="M162" s="313" t="s">
        <v>924</v>
      </c>
      <c r="N162" s="16">
        <v>0</v>
      </c>
      <c r="O162" s="16">
        <v>2.0000000000000002E-5</v>
      </c>
      <c r="P162" s="16">
        <v>2.0000000000000002E-5</v>
      </c>
      <c r="Q162" s="313" t="s">
        <v>921</v>
      </c>
      <c r="R162" s="16">
        <v>0.14599999999999999</v>
      </c>
      <c r="S162" s="16">
        <v>0.17</v>
      </c>
      <c r="T162" s="16">
        <v>0.17</v>
      </c>
    </row>
    <row r="163" spans="1:20" ht="39.950000000000003" customHeight="1" x14ac:dyDescent="0.25">
      <c r="A163" s="313" t="s">
        <v>441</v>
      </c>
      <c r="B163" s="18" t="s">
        <v>743</v>
      </c>
      <c r="C163" s="313" t="s">
        <v>436</v>
      </c>
      <c r="D163" s="313">
        <v>17031</v>
      </c>
      <c r="E163" s="313" t="s">
        <v>926</v>
      </c>
      <c r="F163" s="16">
        <v>0.54</v>
      </c>
      <c r="G163" s="16">
        <v>0.68000099999999997</v>
      </c>
      <c r="H163" s="16">
        <v>0.68000099999999997</v>
      </c>
      <c r="I163" s="313" t="s">
        <v>924</v>
      </c>
      <c r="J163" s="16">
        <v>0</v>
      </c>
      <c r="K163" s="16">
        <v>2.5000000000000001E-5</v>
      </c>
      <c r="L163" s="16">
        <v>2.5000000000000001E-5</v>
      </c>
      <c r="M163" s="313" t="s">
        <v>924</v>
      </c>
      <c r="N163" s="16">
        <v>0</v>
      </c>
      <c r="O163" s="16">
        <v>2.0999999999999999E-5</v>
      </c>
      <c r="P163" s="16">
        <v>2.0999999999999999E-5</v>
      </c>
      <c r="Q163" s="313" t="s">
        <v>924</v>
      </c>
      <c r="R163" s="16">
        <v>0</v>
      </c>
      <c r="S163" s="16">
        <v>1.9000000000000001E-5</v>
      </c>
      <c r="T163" s="16">
        <v>1.9000000000000001E-5</v>
      </c>
    </row>
    <row r="164" spans="1:20" ht="39.950000000000003" customHeight="1" x14ac:dyDescent="0.25">
      <c r="A164" s="17" t="s">
        <v>254</v>
      </c>
      <c r="B164" s="18" t="s">
        <v>744</v>
      </c>
      <c r="C164" s="313" t="s">
        <v>436</v>
      </c>
      <c r="D164" s="313">
        <v>17031</v>
      </c>
      <c r="E164" s="313" t="s">
        <v>923</v>
      </c>
      <c r="F164" s="16">
        <v>0.96</v>
      </c>
      <c r="G164" s="16">
        <v>1.2000010000000001</v>
      </c>
      <c r="H164" s="16">
        <v>1.2000010000000001</v>
      </c>
      <c r="I164" s="313" t="s">
        <v>924</v>
      </c>
      <c r="J164" s="16">
        <v>0</v>
      </c>
      <c r="K164" s="16">
        <v>3.1999999999999999E-5</v>
      </c>
      <c r="L164" s="16">
        <v>3.1999999999999999E-5</v>
      </c>
      <c r="M164" s="313" t="s">
        <v>924</v>
      </c>
      <c r="N164" s="16">
        <v>0</v>
      </c>
      <c r="O164" s="16">
        <v>2.8E-5</v>
      </c>
      <c r="P164" s="16">
        <v>2.8E-5</v>
      </c>
      <c r="Q164" s="313" t="s">
        <v>920</v>
      </c>
      <c r="R164" s="16">
        <v>0.14299999999999999</v>
      </c>
      <c r="S164" s="16">
        <v>0.16600100000000001</v>
      </c>
      <c r="T164" s="16">
        <v>0.16600100000000001</v>
      </c>
    </row>
    <row r="165" spans="1:20" ht="39.950000000000003" customHeight="1" x14ac:dyDescent="0.25">
      <c r="A165" s="17" t="s">
        <v>455</v>
      </c>
      <c r="B165" s="18" t="s">
        <v>745</v>
      </c>
      <c r="C165" s="313" t="s">
        <v>436</v>
      </c>
      <c r="D165" s="313">
        <v>17031</v>
      </c>
      <c r="E165" s="313" t="s">
        <v>924</v>
      </c>
      <c r="F165" s="16">
        <v>0</v>
      </c>
      <c r="G165" s="16">
        <v>2.1999999999999999E-5</v>
      </c>
      <c r="H165" s="16">
        <v>2.1999999999999999E-5</v>
      </c>
      <c r="I165" s="313" t="s">
        <v>924</v>
      </c>
      <c r="J165" s="16">
        <v>0</v>
      </c>
      <c r="K165" s="16">
        <v>3.3000000000000003E-5</v>
      </c>
      <c r="L165" s="16">
        <v>3.3000000000000003E-5</v>
      </c>
      <c r="M165" s="313" t="s">
        <v>924</v>
      </c>
      <c r="N165" s="16">
        <v>0</v>
      </c>
      <c r="O165" s="16">
        <v>2.9E-5</v>
      </c>
      <c r="P165" s="16">
        <v>2.9E-5</v>
      </c>
      <c r="Q165" s="313" t="s">
        <v>922</v>
      </c>
      <c r="R165" s="16">
        <v>0.44500000000000001</v>
      </c>
      <c r="S165" s="16">
        <v>0.51700000000000002</v>
      </c>
      <c r="T165" s="16">
        <v>0.51700000000000002</v>
      </c>
    </row>
    <row r="166" spans="1:20" ht="39.950000000000003" customHeight="1" x14ac:dyDescent="0.25">
      <c r="A166" s="17" t="s">
        <v>491</v>
      </c>
      <c r="B166" s="18" t="s">
        <v>746</v>
      </c>
      <c r="C166" s="313" t="s">
        <v>436</v>
      </c>
      <c r="D166" s="313">
        <v>17031</v>
      </c>
      <c r="E166" s="313" t="s">
        <v>924</v>
      </c>
      <c r="F166" s="16">
        <v>0</v>
      </c>
      <c r="G166" s="16">
        <v>2.5000000000000001E-5</v>
      </c>
      <c r="H166" s="16">
        <v>2.5000000000000001E-5</v>
      </c>
      <c r="I166" s="313" t="s">
        <v>924</v>
      </c>
      <c r="J166" s="16">
        <v>0</v>
      </c>
      <c r="K166" s="16">
        <v>3.8999999999999999E-5</v>
      </c>
      <c r="L166" s="16">
        <v>3.8999999999999999E-5</v>
      </c>
      <c r="M166" s="313" t="s">
        <v>924</v>
      </c>
      <c r="N166" s="16">
        <v>0</v>
      </c>
      <c r="O166" s="16">
        <v>3.3000000000000003E-5</v>
      </c>
      <c r="P166" s="16">
        <v>3.3000000000000003E-5</v>
      </c>
      <c r="Q166" s="313" t="s">
        <v>922</v>
      </c>
      <c r="R166" s="16">
        <v>0.34399999999999997</v>
      </c>
      <c r="S166" s="16">
        <v>0.4</v>
      </c>
      <c r="T166" s="16">
        <v>0.4</v>
      </c>
    </row>
    <row r="167" spans="1:20" ht="39.950000000000003" customHeight="1" x14ac:dyDescent="0.25">
      <c r="A167" s="313" t="s">
        <v>548</v>
      </c>
      <c r="B167" s="18" t="s">
        <v>747</v>
      </c>
      <c r="C167" s="313" t="s">
        <v>436</v>
      </c>
      <c r="D167" s="313">
        <v>17031</v>
      </c>
      <c r="E167" s="313" t="s">
        <v>920</v>
      </c>
      <c r="F167" s="16">
        <v>2.67</v>
      </c>
      <c r="G167" s="16">
        <v>3.34</v>
      </c>
      <c r="H167" s="16">
        <v>3.34</v>
      </c>
      <c r="I167" s="313" t="s">
        <v>921</v>
      </c>
      <c r="J167" s="16">
        <v>2.75</v>
      </c>
      <c r="K167" s="16">
        <v>3.44</v>
      </c>
      <c r="L167" s="16">
        <v>3.44</v>
      </c>
      <c r="M167" s="313" t="s">
        <v>921</v>
      </c>
      <c r="N167" s="16">
        <v>1.26</v>
      </c>
      <c r="O167" s="16">
        <v>1.42</v>
      </c>
      <c r="P167" s="16">
        <v>1.42</v>
      </c>
      <c r="Q167" s="313" t="s">
        <v>922</v>
      </c>
      <c r="R167" s="16">
        <v>0.34499999999999997</v>
      </c>
      <c r="S167" s="16">
        <v>0.40200000000000002</v>
      </c>
      <c r="T167" s="16">
        <v>0.40200000000000002</v>
      </c>
    </row>
    <row r="168" spans="1:20" ht="39.950000000000003" customHeight="1" x14ac:dyDescent="0.25">
      <c r="A168" s="17" t="s">
        <v>271</v>
      </c>
      <c r="B168" s="18" t="s">
        <v>748</v>
      </c>
      <c r="C168" s="313" t="s">
        <v>436</v>
      </c>
      <c r="D168" s="313">
        <v>17031</v>
      </c>
      <c r="E168" s="313" t="s">
        <v>923</v>
      </c>
      <c r="F168" s="16">
        <v>1.51</v>
      </c>
      <c r="G168" s="16">
        <v>1.890001</v>
      </c>
      <c r="H168" s="16">
        <v>1.890001</v>
      </c>
      <c r="I168" s="313" t="s">
        <v>924</v>
      </c>
      <c r="J168" s="16">
        <v>0</v>
      </c>
      <c r="K168" s="16">
        <v>7.4999999999999993E-5</v>
      </c>
      <c r="L168" s="16">
        <v>7.4999999999999993E-5</v>
      </c>
      <c r="M168" s="313" t="s">
        <v>921</v>
      </c>
      <c r="N168" s="16">
        <v>1.06</v>
      </c>
      <c r="O168" s="16">
        <v>1.2000029999999999</v>
      </c>
      <c r="P168" s="16">
        <v>1.2000029999999999</v>
      </c>
      <c r="Q168" s="313" t="s">
        <v>924</v>
      </c>
      <c r="R168" s="16">
        <v>0</v>
      </c>
      <c r="S168" s="16">
        <v>5.3000000000000001E-5</v>
      </c>
      <c r="T168" s="16">
        <v>5.3000000000000001E-5</v>
      </c>
    </row>
    <row r="169" spans="1:20" ht="39.950000000000003" customHeight="1" x14ac:dyDescent="0.25">
      <c r="A169" s="313" t="s">
        <v>283</v>
      </c>
      <c r="B169" s="18" t="s">
        <v>749</v>
      </c>
      <c r="C169" s="313" t="s">
        <v>436</v>
      </c>
      <c r="D169" s="313">
        <v>17031</v>
      </c>
      <c r="E169" s="313" t="s">
        <v>920</v>
      </c>
      <c r="F169" s="16">
        <v>1.99</v>
      </c>
      <c r="G169" s="16">
        <v>2.4900000000000002</v>
      </c>
      <c r="H169" s="16">
        <v>2.4900000000000002</v>
      </c>
      <c r="I169" s="313" t="s">
        <v>921</v>
      </c>
      <c r="J169" s="16">
        <v>2.2000000000000002</v>
      </c>
      <c r="K169" s="16">
        <v>2.75</v>
      </c>
      <c r="L169" s="16">
        <v>2.75</v>
      </c>
      <c r="M169" s="313" t="s">
        <v>921</v>
      </c>
      <c r="N169" s="16">
        <v>1.28</v>
      </c>
      <c r="O169" s="16">
        <v>1.44</v>
      </c>
      <c r="P169" s="16">
        <v>1.44</v>
      </c>
      <c r="Q169" s="313" t="s">
        <v>922</v>
      </c>
      <c r="R169" s="16">
        <v>0.34</v>
      </c>
      <c r="S169" s="16">
        <v>0.39600000000000002</v>
      </c>
      <c r="T169" s="16">
        <v>0.39600000000000002</v>
      </c>
    </row>
    <row r="170" spans="1:20" ht="39.950000000000003" customHeight="1" x14ac:dyDescent="0.25">
      <c r="A170" s="17" t="s">
        <v>280</v>
      </c>
      <c r="B170" s="18" t="s">
        <v>750</v>
      </c>
      <c r="C170" s="313" t="s">
        <v>436</v>
      </c>
      <c r="D170" s="313">
        <v>17031</v>
      </c>
      <c r="E170" s="313" t="s">
        <v>923</v>
      </c>
      <c r="F170" s="16">
        <v>1.75</v>
      </c>
      <c r="G170" s="16">
        <v>2.19</v>
      </c>
      <c r="H170" s="16">
        <v>2.19</v>
      </c>
      <c r="I170" s="313" t="s">
        <v>924</v>
      </c>
      <c r="J170" s="16">
        <v>0</v>
      </c>
      <c r="K170" s="16">
        <v>9.7999999999999997E-5</v>
      </c>
      <c r="L170" s="16">
        <v>9.7999999999999997E-5</v>
      </c>
      <c r="M170" s="313" t="s">
        <v>921</v>
      </c>
      <c r="N170" s="16">
        <v>0.98</v>
      </c>
      <c r="O170" s="16">
        <v>1.100001</v>
      </c>
      <c r="P170" s="16">
        <v>1.100001</v>
      </c>
      <c r="Q170" s="313" t="s">
        <v>922</v>
      </c>
      <c r="R170" s="16">
        <v>0.30199999999999999</v>
      </c>
      <c r="S170" s="16">
        <v>0.35099999999999998</v>
      </c>
      <c r="T170" s="16">
        <v>0.35099999999999998</v>
      </c>
    </row>
    <row r="171" spans="1:20" ht="39.950000000000003" customHeight="1" x14ac:dyDescent="0.25">
      <c r="A171" s="17" t="s">
        <v>751</v>
      </c>
      <c r="B171" s="18" t="s">
        <v>752</v>
      </c>
      <c r="C171" s="313" t="s">
        <v>436</v>
      </c>
      <c r="D171" s="313">
        <v>17031</v>
      </c>
      <c r="E171" s="313" t="s">
        <v>924</v>
      </c>
      <c r="F171" s="16">
        <v>0</v>
      </c>
      <c r="G171" s="16">
        <v>5.8E-5</v>
      </c>
      <c r="H171" s="16">
        <v>5.8E-5</v>
      </c>
      <c r="I171" s="313" t="s">
        <v>924</v>
      </c>
      <c r="J171" s="16">
        <v>0</v>
      </c>
      <c r="K171" s="16">
        <v>1.18E-4</v>
      </c>
      <c r="L171" s="16">
        <v>1.18E-4</v>
      </c>
      <c r="M171" s="313" t="s">
        <v>924</v>
      </c>
      <c r="N171" s="16">
        <v>0</v>
      </c>
      <c r="O171" s="16">
        <v>7.7000000000000001E-5</v>
      </c>
      <c r="P171" s="16">
        <v>7.7000000000000001E-5</v>
      </c>
      <c r="Q171" s="313" t="s">
        <v>924</v>
      </c>
      <c r="R171" s="16">
        <v>0</v>
      </c>
      <c r="S171" s="16">
        <v>8.2999999999999998E-5</v>
      </c>
      <c r="T171" s="16">
        <v>8.2999999999999998E-5</v>
      </c>
    </row>
    <row r="172" spans="1:20" ht="39.950000000000003" customHeight="1" x14ac:dyDescent="0.25">
      <c r="A172" s="17" t="s">
        <v>288</v>
      </c>
      <c r="B172" s="18" t="s">
        <v>753</v>
      </c>
      <c r="C172" s="313" t="s">
        <v>436</v>
      </c>
      <c r="D172" s="313">
        <v>17031</v>
      </c>
      <c r="E172" s="313" t="s">
        <v>920</v>
      </c>
      <c r="F172" s="16">
        <v>2.62</v>
      </c>
      <c r="G172" s="16">
        <v>3.28</v>
      </c>
      <c r="H172" s="16">
        <v>3.28</v>
      </c>
      <c r="I172" s="313" t="s">
        <v>921</v>
      </c>
      <c r="J172" s="16">
        <v>2.64</v>
      </c>
      <c r="K172" s="16">
        <v>3.3</v>
      </c>
      <c r="L172" s="16">
        <v>3.3</v>
      </c>
      <c r="M172" s="313" t="s">
        <v>921</v>
      </c>
      <c r="N172" s="16">
        <v>1.24</v>
      </c>
      <c r="O172" s="16">
        <v>1.39002</v>
      </c>
      <c r="P172" s="16">
        <v>1.39002</v>
      </c>
      <c r="Q172" s="313" t="s">
        <v>922</v>
      </c>
      <c r="R172" s="16">
        <v>0.35299999999999998</v>
      </c>
      <c r="S172" s="16">
        <v>0.41099999999999998</v>
      </c>
      <c r="T172" s="16">
        <v>0.41099999999999998</v>
      </c>
    </row>
    <row r="173" spans="1:20" ht="39.950000000000003" customHeight="1" x14ac:dyDescent="0.25">
      <c r="A173" s="17" t="s">
        <v>414</v>
      </c>
      <c r="B173" s="18" t="s">
        <v>754</v>
      </c>
      <c r="C173" s="313" t="s">
        <v>436</v>
      </c>
      <c r="D173" s="313">
        <v>17031</v>
      </c>
      <c r="E173" s="313" t="s">
        <v>922</v>
      </c>
      <c r="F173" s="16">
        <v>4.5599999999999996</v>
      </c>
      <c r="G173" s="16">
        <v>5.7</v>
      </c>
      <c r="H173" s="16">
        <v>5.7</v>
      </c>
      <c r="I173" s="313" t="s">
        <v>922</v>
      </c>
      <c r="J173" s="16">
        <v>2.85</v>
      </c>
      <c r="K173" s="16">
        <v>3.56</v>
      </c>
      <c r="L173" s="16">
        <v>3.56</v>
      </c>
      <c r="M173" s="313" t="s">
        <v>922</v>
      </c>
      <c r="N173" s="16">
        <v>1.38</v>
      </c>
      <c r="O173" s="16">
        <v>1.55</v>
      </c>
      <c r="P173" s="16">
        <v>1.55</v>
      </c>
      <c r="Q173" s="313" t="s">
        <v>922</v>
      </c>
      <c r="R173" s="16">
        <v>0.33600000000000002</v>
      </c>
      <c r="S173" s="16">
        <v>0.39100000000000001</v>
      </c>
      <c r="T173" s="16">
        <v>0.39100000000000001</v>
      </c>
    </row>
    <row r="174" spans="1:20" ht="39.950000000000003" customHeight="1" x14ac:dyDescent="0.25">
      <c r="A174" s="313" t="s">
        <v>278</v>
      </c>
      <c r="B174" s="18" t="s">
        <v>755</v>
      </c>
      <c r="C174" s="313" t="s">
        <v>436</v>
      </c>
      <c r="D174" s="313">
        <v>17031</v>
      </c>
      <c r="E174" s="313" t="s">
        <v>923</v>
      </c>
      <c r="F174" s="16">
        <v>1.32</v>
      </c>
      <c r="G174" s="16">
        <v>1.65</v>
      </c>
      <c r="H174" s="16">
        <v>1.65</v>
      </c>
      <c r="I174" s="313" t="s">
        <v>924</v>
      </c>
      <c r="J174" s="16">
        <v>0</v>
      </c>
      <c r="K174" s="16">
        <v>1.3200000000000001E-4</v>
      </c>
      <c r="L174" s="16">
        <v>1.3200000000000001E-4</v>
      </c>
      <c r="M174" s="313" t="s">
        <v>921</v>
      </c>
      <c r="N174" s="16">
        <v>0.83</v>
      </c>
      <c r="O174" s="16">
        <v>0.94</v>
      </c>
      <c r="P174" s="16">
        <v>0.94</v>
      </c>
      <c r="Q174" s="313" t="s">
        <v>920</v>
      </c>
      <c r="R174" s="16">
        <v>0.188</v>
      </c>
      <c r="S174" s="16">
        <v>0.218</v>
      </c>
      <c r="T174" s="16">
        <v>0.218</v>
      </c>
    </row>
    <row r="175" spans="1:20" ht="39.950000000000003" customHeight="1" x14ac:dyDescent="0.25">
      <c r="A175" s="313" t="s">
        <v>448</v>
      </c>
      <c r="B175" s="18" t="s">
        <v>756</v>
      </c>
      <c r="C175" s="313" t="s">
        <v>436</v>
      </c>
      <c r="D175" s="313">
        <v>17031</v>
      </c>
      <c r="E175" s="313" t="s">
        <v>920</v>
      </c>
      <c r="F175" s="16">
        <v>3.05</v>
      </c>
      <c r="G175" s="16">
        <v>3.81</v>
      </c>
      <c r="H175" s="16">
        <v>3.81</v>
      </c>
      <c r="I175" s="313" t="s">
        <v>921</v>
      </c>
      <c r="J175" s="16">
        <v>2.2799999999999998</v>
      </c>
      <c r="K175" s="16">
        <v>2.8500019999999999</v>
      </c>
      <c r="L175" s="16">
        <v>2.8500019999999999</v>
      </c>
      <c r="M175" s="313" t="s">
        <v>921</v>
      </c>
      <c r="N175" s="16">
        <v>1.22</v>
      </c>
      <c r="O175" s="16">
        <v>1.370001</v>
      </c>
      <c r="P175" s="16">
        <v>1.370001</v>
      </c>
      <c r="Q175" s="313" t="s">
        <v>924</v>
      </c>
      <c r="R175" s="16">
        <v>0</v>
      </c>
      <c r="S175" s="16">
        <v>1.01E-4</v>
      </c>
      <c r="T175" s="16">
        <v>1.01E-4</v>
      </c>
    </row>
    <row r="176" spans="1:20" ht="39.950000000000003" customHeight="1" x14ac:dyDescent="0.25">
      <c r="A176" s="17" t="s">
        <v>309</v>
      </c>
      <c r="B176" s="18" t="s">
        <v>757</v>
      </c>
      <c r="C176" s="313" t="s">
        <v>436</v>
      </c>
      <c r="D176" s="313">
        <v>17031</v>
      </c>
      <c r="E176" s="313" t="s">
        <v>923</v>
      </c>
      <c r="F176" s="16">
        <v>1.45</v>
      </c>
      <c r="G176" s="16">
        <v>1.81</v>
      </c>
      <c r="H176" s="16">
        <v>1.81</v>
      </c>
      <c r="I176" s="313" t="s">
        <v>921</v>
      </c>
      <c r="J176" s="16">
        <v>1.28</v>
      </c>
      <c r="K176" s="16">
        <v>1.6</v>
      </c>
      <c r="L176" s="16">
        <v>1.6</v>
      </c>
      <c r="M176" s="313" t="s">
        <v>921</v>
      </c>
      <c r="N176" s="16">
        <v>0.89</v>
      </c>
      <c r="O176" s="16">
        <v>1</v>
      </c>
      <c r="P176" s="16">
        <v>1</v>
      </c>
      <c r="Q176" s="313" t="s">
        <v>921</v>
      </c>
      <c r="R176" s="16">
        <v>0.27900000000000003</v>
      </c>
      <c r="S176" s="16">
        <v>0.32500000000000001</v>
      </c>
      <c r="T176" s="16">
        <v>0.32500000000000001</v>
      </c>
    </row>
    <row r="177" spans="1:20" ht="39.950000000000003" customHeight="1" x14ac:dyDescent="0.25">
      <c r="A177" s="17" t="s">
        <v>308</v>
      </c>
      <c r="B177" s="18" t="s">
        <v>758</v>
      </c>
      <c r="C177" s="313" t="s">
        <v>436</v>
      </c>
      <c r="D177" s="313">
        <v>17031</v>
      </c>
      <c r="E177" s="313" t="s">
        <v>920</v>
      </c>
      <c r="F177" s="16">
        <v>2.25</v>
      </c>
      <c r="G177" s="16">
        <v>2.81</v>
      </c>
      <c r="H177" s="16">
        <v>2.81</v>
      </c>
      <c r="I177" s="313" t="s">
        <v>921</v>
      </c>
      <c r="J177" s="16">
        <v>2.1800000000000002</v>
      </c>
      <c r="K177" s="16">
        <v>2.73</v>
      </c>
      <c r="L177" s="16">
        <v>2.73</v>
      </c>
      <c r="M177" s="313" t="s">
        <v>924</v>
      </c>
      <c r="N177" s="16">
        <v>0</v>
      </c>
      <c r="O177" s="16">
        <v>1.03E-4</v>
      </c>
      <c r="P177" s="16">
        <v>1.03E-4</v>
      </c>
      <c r="Q177" s="313" t="s">
        <v>924</v>
      </c>
      <c r="R177" s="16">
        <v>0</v>
      </c>
      <c r="S177" s="16">
        <v>1.16E-4</v>
      </c>
      <c r="T177" s="16">
        <v>1.16E-4</v>
      </c>
    </row>
    <row r="178" spans="1:20" ht="39.950000000000003" customHeight="1" x14ac:dyDescent="0.25">
      <c r="A178" s="17" t="s">
        <v>287</v>
      </c>
      <c r="B178" s="18" t="s">
        <v>759</v>
      </c>
      <c r="C178" s="313" t="s">
        <v>436</v>
      </c>
      <c r="D178" s="313">
        <v>17031</v>
      </c>
      <c r="E178" s="313" t="s">
        <v>920</v>
      </c>
      <c r="F178" s="16">
        <v>1.67</v>
      </c>
      <c r="G178" s="16">
        <v>2.09</v>
      </c>
      <c r="H178" s="16">
        <v>2.09</v>
      </c>
      <c r="I178" s="313" t="s">
        <v>921</v>
      </c>
      <c r="J178" s="16">
        <v>0</v>
      </c>
      <c r="K178" s="16">
        <v>1.962</v>
      </c>
      <c r="L178" s="16">
        <v>1.962</v>
      </c>
      <c r="M178" s="313" t="s">
        <v>921</v>
      </c>
      <c r="N178" s="16">
        <v>0.93</v>
      </c>
      <c r="O178" s="16">
        <v>1.050001</v>
      </c>
      <c r="P178" s="16">
        <v>1.050001</v>
      </c>
      <c r="Q178" s="313" t="s">
        <v>924</v>
      </c>
      <c r="R178" s="16">
        <v>0</v>
      </c>
      <c r="S178" s="16">
        <v>1.17E-4</v>
      </c>
      <c r="T178" s="16">
        <v>1.17E-4</v>
      </c>
    </row>
    <row r="179" spans="1:20" ht="39.950000000000003" customHeight="1" x14ac:dyDescent="0.25">
      <c r="A179" s="313" t="s">
        <v>312</v>
      </c>
      <c r="B179" s="18" t="s">
        <v>760</v>
      </c>
      <c r="C179" s="313" t="s">
        <v>436</v>
      </c>
      <c r="D179" s="313">
        <v>17031</v>
      </c>
      <c r="E179" s="313" t="s">
        <v>926</v>
      </c>
      <c r="F179" s="16">
        <v>0.84</v>
      </c>
      <c r="G179" s="16">
        <v>1.05</v>
      </c>
      <c r="H179" s="16">
        <v>1.05</v>
      </c>
      <c r="I179" s="313" t="s">
        <v>924</v>
      </c>
      <c r="J179" s="16">
        <v>0</v>
      </c>
      <c r="K179" s="16">
        <v>1.6200000000000001E-4</v>
      </c>
      <c r="L179" s="16">
        <v>1.6200000000000001E-4</v>
      </c>
      <c r="M179" s="313" t="s">
        <v>920</v>
      </c>
      <c r="N179" s="16">
        <v>0.77</v>
      </c>
      <c r="O179" s="16">
        <v>0.86</v>
      </c>
      <c r="P179" s="16">
        <v>0.86</v>
      </c>
      <c r="Q179" s="313" t="s">
        <v>924</v>
      </c>
      <c r="R179" s="16">
        <v>0</v>
      </c>
      <c r="S179" s="16">
        <v>1.18E-4</v>
      </c>
      <c r="T179" s="16">
        <v>1.18E-4</v>
      </c>
    </row>
    <row r="180" spans="1:20" ht="39.950000000000003" customHeight="1" x14ac:dyDescent="0.25">
      <c r="A180" s="17" t="s">
        <v>386</v>
      </c>
      <c r="B180" s="18" t="s">
        <v>761</v>
      </c>
      <c r="C180" s="313" t="s">
        <v>436</v>
      </c>
      <c r="D180" s="313">
        <v>17031</v>
      </c>
      <c r="E180" s="313" t="s">
        <v>923</v>
      </c>
      <c r="F180" s="16">
        <v>1.1599999999999999</v>
      </c>
      <c r="G180" s="16">
        <v>1.45</v>
      </c>
      <c r="H180" s="16">
        <v>1.45</v>
      </c>
      <c r="I180" s="313" t="s">
        <v>924</v>
      </c>
      <c r="J180" s="16">
        <v>0</v>
      </c>
      <c r="K180" s="16">
        <v>2.13E-4</v>
      </c>
      <c r="L180" s="16">
        <v>2.13E-4</v>
      </c>
      <c r="M180" s="313" t="s">
        <v>920</v>
      </c>
      <c r="N180" s="16">
        <v>0.82</v>
      </c>
      <c r="O180" s="16">
        <v>0.92</v>
      </c>
      <c r="P180" s="16">
        <v>0.92</v>
      </c>
      <c r="Q180" s="313" t="s">
        <v>921</v>
      </c>
      <c r="R180" s="16">
        <v>0.23499999999999999</v>
      </c>
      <c r="S180" s="16">
        <v>0.27300000000000002</v>
      </c>
      <c r="T180" s="16">
        <v>0.27300000000000002</v>
      </c>
    </row>
    <row r="181" spans="1:20" ht="39.950000000000003" customHeight="1" x14ac:dyDescent="0.25">
      <c r="A181" s="17" t="s">
        <v>524</v>
      </c>
      <c r="B181" s="18" t="s">
        <v>762</v>
      </c>
      <c r="C181" s="313" t="s">
        <v>436</v>
      </c>
      <c r="D181" s="313">
        <v>17031</v>
      </c>
      <c r="E181" s="313" t="s">
        <v>926</v>
      </c>
      <c r="F181" s="16">
        <v>0.7</v>
      </c>
      <c r="G181" s="16">
        <v>0.87000100000000002</v>
      </c>
      <c r="H181" s="16">
        <v>0.87000100000000002</v>
      </c>
      <c r="I181" s="313" t="s">
        <v>924</v>
      </c>
      <c r="J181" s="16">
        <v>0</v>
      </c>
      <c r="K181" s="16">
        <v>2.2000000000000001E-4</v>
      </c>
      <c r="L181" s="16">
        <v>2.2000000000000001E-4</v>
      </c>
      <c r="M181" s="313" t="s">
        <v>924</v>
      </c>
      <c r="N181" s="16">
        <v>0</v>
      </c>
      <c r="O181" s="16">
        <v>1.45E-4</v>
      </c>
      <c r="P181" s="16">
        <v>1.45E-4</v>
      </c>
      <c r="Q181" s="313" t="s">
        <v>924</v>
      </c>
      <c r="R181" s="16">
        <v>0</v>
      </c>
      <c r="S181" s="16">
        <v>1.65E-4</v>
      </c>
      <c r="T181" s="16">
        <v>1.65E-4</v>
      </c>
    </row>
    <row r="182" spans="1:20" ht="39.950000000000003" customHeight="1" x14ac:dyDescent="0.25">
      <c r="A182" s="17" t="s">
        <v>377</v>
      </c>
      <c r="B182" s="18" t="s">
        <v>763</v>
      </c>
      <c r="C182" s="313" t="s">
        <v>436</v>
      </c>
      <c r="D182" s="313">
        <v>17031</v>
      </c>
      <c r="E182" s="313" t="s">
        <v>924</v>
      </c>
      <c r="F182" s="16">
        <v>0</v>
      </c>
      <c r="G182" s="16">
        <v>1.11E-4</v>
      </c>
      <c r="H182" s="16">
        <v>1.11E-4</v>
      </c>
      <c r="I182" s="313" t="s">
        <v>924</v>
      </c>
      <c r="J182" s="16">
        <v>0</v>
      </c>
      <c r="K182" s="16">
        <v>2.2499999999999999E-4</v>
      </c>
      <c r="L182" s="16">
        <v>2.2499999999999999E-4</v>
      </c>
      <c r="M182" s="313" t="s">
        <v>924</v>
      </c>
      <c r="N182" s="16">
        <v>0</v>
      </c>
      <c r="O182" s="16">
        <v>1.4999999999999999E-4</v>
      </c>
      <c r="P182" s="16">
        <v>1.4999999999999999E-4</v>
      </c>
      <c r="Q182" s="313" t="s">
        <v>924</v>
      </c>
      <c r="R182" s="16">
        <v>0</v>
      </c>
      <c r="S182" s="16">
        <v>1.7000000000000001E-4</v>
      </c>
      <c r="T182" s="16">
        <v>1.7000000000000001E-4</v>
      </c>
    </row>
    <row r="183" spans="1:20" ht="39.950000000000003" customHeight="1" x14ac:dyDescent="0.25">
      <c r="A183" s="313" t="s">
        <v>334</v>
      </c>
      <c r="B183" s="18" t="s">
        <v>765</v>
      </c>
      <c r="C183" s="313" t="s">
        <v>436</v>
      </c>
      <c r="D183" s="313">
        <v>17031</v>
      </c>
      <c r="E183" s="313" t="s">
        <v>920</v>
      </c>
      <c r="F183" s="16">
        <v>2.4700000000000002</v>
      </c>
      <c r="G183" s="16">
        <v>3.09</v>
      </c>
      <c r="H183" s="16">
        <v>3.09</v>
      </c>
      <c r="I183" s="313" t="s">
        <v>921</v>
      </c>
      <c r="J183" s="16">
        <v>2.2799999999999998</v>
      </c>
      <c r="K183" s="16">
        <v>2.85</v>
      </c>
      <c r="L183" s="16">
        <v>2.85</v>
      </c>
      <c r="M183" s="313" t="s">
        <v>921</v>
      </c>
      <c r="N183" s="16">
        <v>1.1200000000000001</v>
      </c>
      <c r="O183" s="16">
        <v>1.26</v>
      </c>
      <c r="P183" s="16">
        <v>1.26</v>
      </c>
      <c r="Q183" s="313" t="s">
        <v>921</v>
      </c>
      <c r="R183" s="16">
        <v>0.26400000000000001</v>
      </c>
      <c r="S183" s="16">
        <v>0.307</v>
      </c>
      <c r="T183" s="16">
        <v>0.307</v>
      </c>
    </row>
    <row r="184" spans="1:20" ht="39.950000000000003" customHeight="1" x14ac:dyDescent="0.25">
      <c r="A184" s="17" t="s">
        <v>273</v>
      </c>
      <c r="B184" s="18" t="s">
        <v>766</v>
      </c>
      <c r="C184" s="313" t="s">
        <v>525</v>
      </c>
      <c r="D184" s="313">
        <v>17035</v>
      </c>
      <c r="E184" s="313" t="s">
        <v>921</v>
      </c>
      <c r="F184" s="16">
        <v>4.7300000000000004</v>
      </c>
      <c r="G184" s="16">
        <v>5.92</v>
      </c>
      <c r="H184" s="16">
        <v>5.92</v>
      </c>
      <c r="I184" s="313" t="s">
        <v>922</v>
      </c>
      <c r="J184" s="16">
        <v>3.31</v>
      </c>
      <c r="K184" s="16">
        <v>4.1399999999999997</v>
      </c>
      <c r="L184" s="16">
        <v>4.1399999999999997</v>
      </c>
      <c r="M184" s="313" t="s">
        <v>922</v>
      </c>
      <c r="N184" s="16">
        <v>1.66</v>
      </c>
      <c r="O184" s="16">
        <v>1.87</v>
      </c>
      <c r="P184" s="16">
        <v>1.87</v>
      </c>
      <c r="Q184" s="313" t="s">
        <v>927</v>
      </c>
      <c r="R184" s="16">
        <v>0.435</v>
      </c>
      <c r="S184" s="16">
        <v>0.50600000000000001</v>
      </c>
      <c r="T184" s="16">
        <v>0.435</v>
      </c>
    </row>
    <row r="185" spans="1:20" ht="39.950000000000003" customHeight="1" x14ac:dyDescent="0.25">
      <c r="A185" s="17" t="s">
        <v>276</v>
      </c>
      <c r="B185" s="18" t="s">
        <v>767</v>
      </c>
      <c r="C185" s="313" t="s">
        <v>525</v>
      </c>
      <c r="D185" s="313">
        <v>17035</v>
      </c>
      <c r="E185" s="313" t="s">
        <v>920</v>
      </c>
      <c r="F185" s="16">
        <v>2.13</v>
      </c>
      <c r="G185" s="16">
        <v>2.66</v>
      </c>
      <c r="H185" s="16">
        <v>2.66</v>
      </c>
      <c r="I185" s="313" t="s">
        <v>921</v>
      </c>
      <c r="J185" s="16">
        <v>0</v>
      </c>
      <c r="K185" s="16">
        <v>2.3849999999999998</v>
      </c>
      <c r="L185" s="16">
        <v>2.3849999999999998</v>
      </c>
      <c r="M185" s="313" t="s">
        <v>921</v>
      </c>
      <c r="N185" s="16">
        <v>0.98</v>
      </c>
      <c r="O185" s="16">
        <v>1.110001</v>
      </c>
      <c r="P185" s="16">
        <v>1.110001</v>
      </c>
      <c r="Q185" s="313" t="s">
        <v>922</v>
      </c>
      <c r="R185" s="16">
        <v>0.33600000000000002</v>
      </c>
      <c r="S185" s="16">
        <v>0.39</v>
      </c>
      <c r="T185" s="16">
        <v>0.39</v>
      </c>
    </row>
    <row r="186" spans="1:20" ht="39.950000000000003" customHeight="1" x14ac:dyDescent="0.25">
      <c r="A186" s="17" t="s">
        <v>310</v>
      </c>
      <c r="B186" s="18" t="s">
        <v>938</v>
      </c>
      <c r="C186" s="313" t="s">
        <v>525</v>
      </c>
      <c r="D186" s="313">
        <v>17035</v>
      </c>
      <c r="E186" s="313" t="s">
        <v>926</v>
      </c>
      <c r="F186" s="16">
        <v>0.71</v>
      </c>
      <c r="G186" s="16">
        <v>0.89000100000000004</v>
      </c>
      <c r="H186" s="16">
        <v>0.89000100000000004</v>
      </c>
      <c r="I186" s="313" t="s">
        <v>924</v>
      </c>
      <c r="J186" s="16">
        <v>0</v>
      </c>
      <c r="K186" s="16">
        <v>2.3E-5</v>
      </c>
      <c r="L186" s="16">
        <v>2.3E-5</v>
      </c>
      <c r="M186" s="313" t="s">
        <v>920</v>
      </c>
      <c r="N186" s="16">
        <v>0.61</v>
      </c>
      <c r="O186" s="16">
        <v>0.68</v>
      </c>
      <c r="P186" s="16">
        <v>0.68</v>
      </c>
      <c r="Q186" s="313" t="s">
        <v>920</v>
      </c>
      <c r="R186" s="16">
        <v>0.12</v>
      </c>
      <c r="S186" s="16">
        <v>0.14000000000000001</v>
      </c>
      <c r="T186" s="16">
        <v>0.14000000000000001</v>
      </c>
    </row>
    <row r="187" spans="1:20" ht="39.950000000000003" customHeight="1" x14ac:dyDescent="0.25">
      <c r="A187" s="17" t="s">
        <v>768</v>
      </c>
      <c r="B187" s="18" t="s">
        <v>769</v>
      </c>
      <c r="C187" s="313" t="s">
        <v>525</v>
      </c>
      <c r="D187" s="313">
        <v>17035</v>
      </c>
      <c r="E187" s="313" t="s">
        <v>924</v>
      </c>
      <c r="F187" s="16">
        <v>0</v>
      </c>
      <c r="G187" s="16">
        <v>1.8E-5</v>
      </c>
      <c r="H187" s="16">
        <v>1.8E-5</v>
      </c>
      <c r="I187" s="313" t="s">
        <v>924</v>
      </c>
      <c r="J187" s="16">
        <v>0</v>
      </c>
      <c r="K187" s="16">
        <v>2.5999999999999998E-5</v>
      </c>
      <c r="L187" s="16">
        <v>2.5999999999999998E-5</v>
      </c>
      <c r="M187" s="313" t="s">
        <v>924</v>
      </c>
      <c r="N187" s="16">
        <v>0</v>
      </c>
      <c r="O187" s="16">
        <v>2.1999999999999999E-5</v>
      </c>
      <c r="P187" s="16">
        <v>2.1999999999999999E-5</v>
      </c>
      <c r="Q187" s="313" t="s">
        <v>924</v>
      </c>
      <c r="R187" s="16">
        <v>0</v>
      </c>
      <c r="S187" s="16">
        <v>2.0000000000000002E-5</v>
      </c>
      <c r="T187" s="16">
        <v>2.0000000000000002E-5</v>
      </c>
    </row>
    <row r="188" spans="1:20" ht="39.950000000000003" customHeight="1" x14ac:dyDescent="0.25">
      <c r="A188" s="313" t="s">
        <v>462</v>
      </c>
      <c r="B188" s="18" t="s">
        <v>770</v>
      </c>
      <c r="C188" s="313" t="s">
        <v>525</v>
      </c>
      <c r="D188" s="313">
        <v>17035</v>
      </c>
      <c r="E188" s="313" t="s">
        <v>926</v>
      </c>
      <c r="F188" s="16">
        <v>0.28000000000000003</v>
      </c>
      <c r="G188" s="16">
        <v>0.35000100000000001</v>
      </c>
      <c r="H188" s="16">
        <v>0.35000100000000001</v>
      </c>
      <c r="I188" s="313" t="s">
        <v>924</v>
      </c>
      <c r="J188" s="16">
        <v>0</v>
      </c>
      <c r="K188" s="16">
        <v>3.1000000000000001E-5</v>
      </c>
      <c r="L188" s="16">
        <v>3.1000000000000001E-5</v>
      </c>
      <c r="M188" s="313" t="s">
        <v>924</v>
      </c>
      <c r="N188" s="16">
        <v>0</v>
      </c>
      <c r="O188" s="16">
        <v>2.6999999999999999E-5</v>
      </c>
      <c r="P188" s="16">
        <v>2.6999999999999999E-5</v>
      </c>
      <c r="Q188" s="313" t="s">
        <v>924</v>
      </c>
      <c r="R188" s="16">
        <v>0</v>
      </c>
      <c r="S188" s="16">
        <v>2.4000000000000001E-5</v>
      </c>
      <c r="T188" s="16">
        <v>2.4000000000000001E-5</v>
      </c>
    </row>
    <row r="189" spans="1:20" ht="39.950000000000003" customHeight="1" x14ac:dyDescent="0.25">
      <c r="A189" s="313" t="s">
        <v>284</v>
      </c>
      <c r="B189" s="18" t="s">
        <v>771</v>
      </c>
      <c r="C189" s="313" t="s">
        <v>525</v>
      </c>
      <c r="D189" s="313">
        <v>17035</v>
      </c>
      <c r="E189" s="313" t="s">
        <v>920</v>
      </c>
      <c r="F189" s="16">
        <v>1.84</v>
      </c>
      <c r="G189" s="16">
        <v>2.2999999999999998</v>
      </c>
      <c r="H189" s="16">
        <v>2.2999999999999998</v>
      </c>
      <c r="I189" s="313" t="s">
        <v>924</v>
      </c>
      <c r="J189" s="16">
        <v>0</v>
      </c>
      <c r="K189" s="16">
        <v>3.6999999999999998E-5</v>
      </c>
      <c r="L189" s="16">
        <v>3.6999999999999998E-5</v>
      </c>
      <c r="M189" s="313" t="s">
        <v>921</v>
      </c>
      <c r="N189" s="16">
        <v>1.03</v>
      </c>
      <c r="O189" s="16">
        <v>1.160002</v>
      </c>
      <c r="P189" s="16">
        <v>1.160002</v>
      </c>
      <c r="Q189" s="313" t="s">
        <v>921</v>
      </c>
      <c r="R189" s="16">
        <v>0.19700000000000001</v>
      </c>
      <c r="S189" s="16">
        <v>0.22900000000000001</v>
      </c>
      <c r="T189" s="16">
        <v>0.22900000000000001</v>
      </c>
    </row>
    <row r="190" spans="1:20" ht="39.950000000000003" customHeight="1" x14ac:dyDescent="0.25">
      <c r="A190" s="17" t="s">
        <v>243</v>
      </c>
      <c r="B190" s="18" t="s">
        <v>772</v>
      </c>
      <c r="C190" s="313" t="s">
        <v>525</v>
      </c>
      <c r="D190" s="313">
        <v>17035</v>
      </c>
      <c r="E190" s="313" t="s">
        <v>922</v>
      </c>
      <c r="F190" s="16">
        <v>8.1300000000000008</v>
      </c>
      <c r="G190" s="16">
        <v>10.16</v>
      </c>
      <c r="H190" s="16">
        <v>10.16</v>
      </c>
      <c r="I190" s="313" t="s">
        <v>927</v>
      </c>
      <c r="J190" s="16">
        <v>7.05</v>
      </c>
      <c r="K190" s="16">
        <v>8.82</v>
      </c>
      <c r="L190" s="16">
        <v>7.05</v>
      </c>
      <c r="M190" s="313" t="s">
        <v>925</v>
      </c>
      <c r="N190" s="16">
        <v>3.33</v>
      </c>
      <c r="O190" s="16">
        <v>3.75</v>
      </c>
      <c r="P190" s="16">
        <v>3.33</v>
      </c>
      <c r="Q190" s="313" t="s">
        <v>925</v>
      </c>
      <c r="R190" s="16">
        <v>0.65500000000000003</v>
      </c>
      <c r="S190" s="16">
        <v>0.76200000000000001</v>
      </c>
      <c r="T190" s="16">
        <v>0.65500000000000003</v>
      </c>
    </row>
    <row r="191" spans="1:20" ht="39.950000000000003" customHeight="1" x14ac:dyDescent="0.25">
      <c r="A191" s="17" t="s">
        <v>331</v>
      </c>
      <c r="B191" s="18" t="s">
        <v>773</v>
      </c>
      <c r="C191" s="313" t="s">
        <v>525</v>
      </c>
      <c r="D191" s="313">
        <v>17035</v>
      </c>
      <c r="E191" s="313" t="s">
        <v>920</v>
      </c>
      <c r="F191" s="16">
        <v>1.91</v>
      </c>
      <c r="G191" s="16">
        <v>2.39</v>
      </c>
      <c r="H191" s="16">
        <v>2.39</v>
      </c>
      <c r="I191" s="313" t="s">
        <v>924</v>
      </c>
      <c r="J191" s="16">
        <v>0</v>
      </c>
      <c r="K191" s="16">
        <v>8.2000000000000001E-5</v>
      </c>
      <c r="L191" s="16">
        <v>8.2000000000000001E-5</v>
      </c>
      <c r="M191" s="313" t="s">
        <v>921</v>
      </c>
      <c r="N191" s="16">
        <v>1.19</v>
      </c>
      <c r="O191" s="16">
        <v>1.34</v>
      </c>
      <c r="P191" s="16">
        <v>1.34</v>
      </c>
      <c r="Q191" s="313" t="s">
        <v>924</v>
      </c>
      <c r="R191" s="16">
        <v>0</v>
      </c>
      <c r="S191" s="16">
        <v>5.8999999999999998E-5</v>
      </c>
      <c r="T191" s="16">
        <v>5.8999999999999998E-5</v>
      </c>
    </row>
    <row r="192" spans="1:20" ht="39.950000000000003" customHeight="1" x14ac:dyDescent="0.25">
      <c r="A192" s="313" t="s">
        <v>244</v>
      </c>
      <c r="B192" s="18" t="s">
        <v>774</v>
      </c>
      <c r="C192" s="313" t="s">
        <v>525</v>
      </c>
      <c r="D192" s="313">
        <v>17035</v>
      </c>
      <c r="E192" s="313" t="s">
        <v>923</v>
      </c>
      <c r="F192" s="16">
        <v>0.94</v>
      </c>
      <c r="G192" s="16">
        <v>1.18</v>
      </c>
      <c r="H192" s="16">
        <v>1.18</v>
      </c>
      <c r="I192" s="313" t="s">
        <v>924</v>
      </c>
      <c r="J192" s="16">
        <v>0</v>
      </c>
      <c r="K192" s="16">
        <v>9.3999999999999994E-5</v>
      </c>
      <c r="L192" s="16">
        <v>9.3999999999999994E-5</v>
      </c>
      <c r="M192" s="313" t="s">
        <v>924</v>
      </c>
      <c r="N192" s="16">
        <v>0</v>
      </c>
      <c r="O192" s="16">
        <v>6.0999999999999999E-5</v>
      </c>
      <c r="P192" s="16">
        <v>6.0999999999999999E-5</v>
      </c>
      <c r="Q192" s="313" t="s">
        <v>921</v>
      </c>
      <c r="R192" s="16">
        <v>0.25</v>
      </c>
      <c r="S192" s="16">
        <v>0.29099999999999998</v>
      </c>
      <c r="T192" s="16">
        <v>0.29099999999999998</v>
      </c>
    </row>
    <row r="193" spans="1:20" ht="39.950000000000003" customHeight="1" x14ac:dyDescent="0.25">
      <c r="A193" s="313" t="s">
        <v>914</v>
      </c>
      <c r="B193" s="18" t="s">
        <v>915</v>
      </c>
      <c r="C193" s="313" t="s">
        <v>525</v>
      </c>
      <c r="D193" s="313">
        <v>17035</v>
      </c>
      <c r="E193" s="313" t="s">
        <v>926</v>
      </c>
      <c r="F193" s="16">
        <v>0</v>
      </c>
      <c r="G193" s="16">
        <v>0.47</v>
      </c>
      <c r="H193" s="16">
        <v>0.47</v>
      </c>
      <c r="I193" s="313" t="s">
        <v>924</v>
      </c>
      <c r="J193" s="16">
        <v>0</v>
      </c>
      <c r="K193" s="16">
        <v>1.8E-5</v>
      </c>
      <c r="L193" s="16">
        <v>1.8E-5</v>
      </c>
      <c r="M193" s="313" t="s">
        <v>924</v>
      </c>
      <c r="N193" s="16">
        <v>0</v>
      </c>
      <c r="O193" s="16">
        <v>1.8E-5</v>
      </c>
      <c r="P193" s="16">
        <v>1.8E-5</v>
      </c>
      <c r="Q193" s="313" t="s">
        <v>924</v>
      </c>
      <c r="R193" s="16">
        <v>0</v>
      </c>
      <c r="S193" s="16">
        <v>1.8E-5</v>
      </c>
      <c r="T193" s="16">
        <v>1.8E-5</v>
      </c>
    </row>
    <row r="194" spans="1:20" ht="39.950000000000003" customHeight="1" x14ac:dyDescent="0.25">
      <c r="A194" s="313" t="s">
        <v>325</v>
      </c>
      <c r="B194" s="18" t="s">
        <v>775</v>
      </c>
      <c r="C194" s="313" t="s">
        <v>525</v>
      </c>
      <c r="D194" s="313">
        <v>17035</v>
      </c>
      <c r="E194" s="313" t="s">
        <v>923</v>
      </c>
      <c r="F194" s="16">
        <v>1.17</v>
      </c>
      <c r="G194" s="16">
        <v>1.47</v>
      </c>
      <c r="H194" s="16">
        <v>1.47</v>
      </c>
      <c r="I194" s="313" t="s">
        <v>924</v>
      </c>
      <c r="J194" s="16">
        <v>0</v>
      </c>
      <c r="K194" s="16">
        <v>1.02E-4</v>
      </c>
      <c r="L194" s="16">
        <v>1.02E-4</v>
      </c>
      <c r="M194" s="313" t="s">
        <v>920</v>
      </c>
      <c r="N194" s="16">
        <v>0.57999999999999996</v>
      </c>
      <c r="O194" s="16">
        <v>0.65</v>
      </c>
      <c r="P194" s="16">
        <v>0.65</v>
      </c>
      <c r="Q194" s="313" t="s">
        <v>921</v>
      </c>
      <c r="R194" s="16">
        <v>0.21099999999999999</v>
      </c>
      <c r="S194" s="16">
        <v>0.245</v>
      </c>
      <c r="T194" s="16">
        <v>0.245</v>
      </c>
    </row>
    <row r="195" spans="1:20" ht="39.950000000000003" customHeight="1" x14ac:dyDescent="0.25">
      <c r="A195" s="17" t="s">
        <v>380</v>
      </c>
      <c r="B195" s="18" t="s">
        <v>776</v>
      </c>
      <c r="C195" s="313" t="s">
        <v>525</v>
      </c>
      <c r="D195" s="313">
        <v>17035</v>
      </c>
      <c r="E195" s="313" t="s">
        <v>926</v>
      </c>
      <c r="F195" s="16">
        <v>0.4</v>
      </c>
      <c r="G195" s="16">
        <v>0.50000100000000003</v>
      </c>
      <c r="H195" s="16">
        <v>0.50000100000000003</v>
      </c>
      <c r="I195" s="313" t="s">
        <v>924</v>
      </c>
      <c r="J195" s="16">
        <v>0</v>
      </c>
      <c r="K195" s="16">
        <v>1.03E-4</v>
      </c>
      <c r="L195" s="16">
        <v>1.03E-4</v>
      </c>
      <c r="M195" s="313" t="s">
        <v>920</v>
      </c>
      <c r="N195" s="16">
        <v>0.28999999999999998</v>
      </c>
      <c r="O195" s="16">
        <v>0.32</v>
      </c>
      <c r="P195" s="16">
        <v>0.32</v>
      </c>
      <c r="Q195" s="313" t="s">
        <v>924</v>
      </c>
      <c r="R195" s="16">
        <v>0</v>
      </c>
      <c r="S195" s="16">
        <v>6.9999999999999994E-5</v>
      </c>
      <c r="T195" s="16">
        <v>6.9999999999999994E-5</v>
      </c>
    </row>
    <row r="196" spans="1:20" ht="39.950000000000003" customHeight="1" x14ac:dyDescent="0.25">
      <c r="A196" s="313" t="s">
        <v>526</v>
      </c>
      <c r="B196" s="18" t="s">
        <v>777</v>
      </c>
      <c r="C196" s="313" t="s">
        <v>525</v>
      </c>
      <c r="D196" s="313">
        <v>17035</v>
      </c>
      <c r="E196" s="313" t="s">
        <v>926</v>
      </c>
      <c r="F196" s="16">
        <v>0.57999999999999996</v>
      </c>
      <c r="G196" s="16">
        <v>0.72000200000000003</v>
      </c>
      <c r="H196" s="16">
        <v>0.72000200000000003</v>
      </c>
      <c r="I196" s="313" t="s">
        <v>924</v>
      </c>
      <c r="J196" s="16">
        <v>0</v>
      </c>
      <c r="K196" s="16">
        <v>1.16E-4</v>
      </c>
      <c r="L196" s="16">
        <v>1.16E-4</v>
      </c>
      <c r="M196" s="313" t="s">
        <v>924</v>
      </c>
      <c r="N196" s="16">
        <v>0</v>
      </c>
      <c r="O196" s="16">
        <v>7.4999999999999993E-5</v>
      </c>
      <c r="P196" s="16">
        <v>7.4999999999999993E-5</v>
      </c>
      <c r="Q196" s="313" t="s">
        <v>924</v>
      </c>
      <c r="R196" s="16">
        <v>0</v>
      </c>
      <c r="S196" s="16">
        <v>8.1000000000000004E-5</v>
      </c>
      <c r="T196" s="16">
        <v>8.1000000000000004E-5</v>
      </c>
    </row>
    <row r="197" spans="1:20" ht="39.950000000000003" customHeight="1" x14ac:dyDescent="0.25">
      <c r="A197" s="313" t="s">
        <v>916</v>
      </c>
      <c r="B197" s="18" t="s">
        <v>917</v>
      </c>
      <c r="C197" s="313" t="s">
        <v>525</v>
      </c>
      <c r="D197" s="313">
        <v>17035</v>
      </c>
      <c r="E197" s="313" t="s">
        <v>923</v>
      </c>
      <c r="F197" s="16">
        <v>1.21</v>
      </c>
      <c r="G197" s="16">
        <v>1.51</v>
      </c>
      <c r="H197" s="16">
        <v>1.51</v>
      </c>
      <c r="I197" s="313" t="s">
        <v>924</v>
      </c>
      <c r="J197" s="16">
        <v>0</v>
      </c>
      <c r="K197" s="16">
        <v>1.8E-5</v>
      </c>
      <c r="L197" s="16">
        <v>1.8E-5</v>
      </c>
      <c r="M197" s="313" t="s">
        <v>921</v>
      </c>
      <c r="N197" s="16">
        <v>0.94</v>
      </c>
      <c r="O197" s="16">
        <v>1.06</v>
      </c>
      <c r="P197" s="16">
        <v>1.06</v>
      </c>
      <c r="Q197" s="313" t="s">
        <v>921</v>
      </c>
      <c r="R197" s="16">
        <v>0.307</v>
      </c>
      <c r="S197" s="16">
        <v>0.35699999999999998</v>
      </c>
      <c r="T197" s="16">
        <v>0.35699999999999998</v>
      </c>
    </row>
    <row r="198" spans="1:20" ht="39.950000000000003" customHeight="1" x14ac:dyDescent="0.25">
      <c r="A198" s="17" t="s">
        <v>250</v>
      </c>
      <c r="B198" s="18" t="s">
        <v>778</v>
      </c>
      <c r="C198" s="313" t="s">
        <v>525</v>
      </c>
      <c r="D198" s="313">
        <v>17035</v>
      </c>
      <c r="E198" s="313" t="s">
        <v>922</v>
      </c>
      <c r="F198" s="16">
        <v>5.23</v>
      </c>
      <c r="G198" s="16">
        <v>6.54</v>
      </c>
      <c r="H198" s="16">
        <v>6.54</v>
      </c>
      <c r="I198" s="313" t="s">
        <v>922</v>
      </c>
      <c r="J198" s="16">
        <v>3.97</v>
      </c>
      <c r="K198" s="16">
        <v>4.96</v>
      </c>
      <c r="L198" s="16">
        <v>4.96</v>
      </c>
      <c r="M198" s="313" t="s">
        <v>922</v>
      </c>
      <c r="N198" s="16">
        <v>2.0299999999999998</v>
      </c>
      <c r="O198" s="16">
        <v>2.2799999999999998</v>
      </c>
      <c r="P198" s="16">
        <v>2.2799999999999998</v>
      </c>
      <c r="Q198" s="313" t="s">
        <v>927</v>
      </c>
      <c r="R198" s="16">
        <v>0.35099999999999998</v>
      </c>
      <c r="S198" s="16">
        <v>0.40799999999999997</v>
      </c>
      <c r="T198" s="16">
        <v>0.35099999999999998</v>
      </c>
    </row>
    <row r="199" spans="1:20" ht="39.950000000000003" customHeight="1" x14ac:dyDescent="0.25">
      <c r="A199" s="17" t="s">
        <v>313</v>
      </c>
      <c r="B199" s="18" t="s">
        <v>779</v>
      </c>
      <c r="C199" s="313" t="s">
        <v>525</v>
      </c>
      <c r="D199" s="313">
        <v>17035</v>
      </c>
      <c r="E199" s="313" t="s">
        <v>926</v>
      </c>
      <c r="F199" s="16">
        <v>0.57999999999999996</v>
      </c>
      <c r="G199" s="16">
        <v>0.73000200000000004</v>
      </c>
      <c r="H199" s="16">
        <v>0.73000200000000004</v>
      </c>
      <c r="I199" s="313" t="s">
        <v>924</v>
      </c>
      <c r="J199" s="16">
        <v>0</v>
      </c>
      <c r="K199" s="16">
        <v>1.3899999999999999E-4</v>
      </c>
      <c r="L199" s="16">
        <v>1.3899999999999999E-4</v>
      </c>
      <c r="M199" s="313" t="s">
        <v>920</v>
      </c>
      <c r="N199" s="16">
        <v>0.39</v>
      </c>
      <c r="O199" s="16">
        <v>0.44000099999999998</v>
      </c>
      <c r="P199" s="16">
        <v>0.44000099999999998</v>
      </c>
      <c r="Q199" s="313" t="s">
        <v>924</v>
      </c>
      <c r="R199" s="16">
        <v>0</v>
      </c>
      <c r="S199" s="16">
        <v>1E-4</v>
      </c>
      <c r="T199" s="16">
        <v>1E-4</v>
      </c>
    </row>
    <row r="200" spans="1:20" ht="39.950000000000003" customHeight="1" x14ac:dyDescent="0.25">
      <c r="A200" s="17" t="s">
        <v>557</v>
      </c>
      <c r="B200" s="18" t="s">
        <v>780</v>
      </c>
      <c r="C200" s="313" t="s">
        <v>525</v>
      </c>
      <c r="D200" s="313">
        <v>17035</v>
      </c>
      <c r="E200" s="313" t="s">
        <v>924</v>
      </c>
      <c r="F200" s="16">
        <v>0</v>
      </c>
      <c r="G200" s="16">
        <v>7.2000000000000002E-5</v>
      </c>
      <c r="H200" s="16">
        <v>7.2000000000000002E-5</v>
      </c>
      <c r="I200" s="313" t="s">
        <v>924</v>
      </c>
      <c r="J200" s="16">
        <v>0</v>
      </c>
      <c r="K200" s="16">
        <v>1.4300000000000001E-4</v>
      </c>
      <c r="L200" s="16">
        <v>1.4300000000000001E-4</v>
      </c>
      <c r="M200" s="313" t="s">
        <v>924</v>
      </c>
      <c r="N200" s="16">
        <v>0</v>
      </c>
      <c r="O200" s="16">
        <v>9.2999999999999997E-5</v>
      </c>
      <c r="P200" s="16">
        <v>9.2999999999999997E-5</v>
      </c>
      <c r="Q200" s="313" t="s">
        <v>924</v>
      </c>
      <c r="R200" s="16">
        <v>0</v>
      </c>
      <c r="S200" s="16">
        <v>1.03E-4</v>
      </c>
      <c r="T200" s="16">
        <v>1.03E-4</v>
      </c>
    </row>
    <row r="201" spans="1:20" ht="39.950000000000003" customHeight="1" x14ac:dyDescent="0.25">
      <c r="A201" s="17" t="s">
        <v>556</v>
      </c>
      <c r="B201" s="18" t="s">
        <v>781</v>
      </c>
      <c r="C201" s="313" t="s">
        <v>525</v>
      </c>
      <c r="D201" s="313">
        <v>17035</v>
      </c>
      <c r="E201" s="313" t="s">
        <v>923</v>
      </c>
      <c r="F201" s="16">
        <v>1.68</v>
      </c>
      <c r="G201" s="16">
        <v>2.1</v>
      </c>
      <c r="H201" s="16">
        <v>2.1</v>
      </c>
      <c r="I201" s="313" t="s">
        <v>924</v>
      </c>
      <c r="J201" s="16">
        <v>0</v>
      </c>
      <c r="K201" s="16">
        <v>1.46E-4</v>
      </c>
      <c r="L201" s="16">
        <v>1.46E-4</v>
      </c>
      <c r="M201" s="313" t="s">
        <v>924</v>
      </c>
      <c r="N201" s="16">
        <v>0</v>
      </c>
      <c r="O201" s="16">
        <v>9.6000000000000002E-5</v>
      </c>
      <c r="P201" s="16">
        <v>9.6000000000000002E-5</v>
      </c>
      <c r="Q201" s="313" t="s">
        <v>921</v>
      </c>
      <c r="R201" s="16">
        <v>0.26800000000000002</v>
      </c>
      <c r="S201" s="16">
        <v>0.311</v>
      </c>
      <c r="T201" s="16">
        <v>0.311</v>
      </c>
    </row>
    <row r="202" spans="1:20" ht="39.950000000000003" customHeight="1" x14ac:dyDescent="0.25">
      <c r="A202" s="17" t="s">
        <v>918</v>
      </c>
      <c r="B202" s="18" t="s">
        <v>919</v>
      </c>
      <c r="C202" s="313" t="s">
        <v>525</v>
      </c>
      <c r="D202" s="313">
        <v>17035</v>
      </c>
      <c r="E202" s="313" t="s">
        <v>924</v>
      </c>
      <c r="F202" s="16">
        <v>0</v>
      </c>
      <c r="G202" s="16">
        <v>1.8E-5</v>
      </c>
      <c r="H202" s="16">
        <v>1.8E-5</v>
      </c>
      <c r="I202" s="313" t="s">
        <v>924</v>
      </c>
      <c r="J202" s="16">
        <v>0</v>
      </c>
      <c r="K202" s="16">
        <v>1.8E-5</v>
      </c>
      <c r="L202" s="16">
        <v>1.8E-5</v>
      </c>
      <c r="M202" s="313" t="s">
        <v>924</v>
      </c>
      <c r="N202" s="16">
        <v>0</v>
      </c>
      <c r="O202" s="16">
        <v>1.8E-5</v>
      </c>
      <c r="P202" s="16">
        <v>1.8E-5</v>
      </c>
      <c r="Q202" s="313" t="s">
        <v>924</v>
      </c>
      <c r="R202" s="16">
        <v>0</v>
      </c>
      <c r="S202" s="16">
        <v>1.8E-5</v>
      </c>
      <c r="T202" s="16">
        <v>1.8E-5</v>
      </c>
    </row>
    <row r="203" spans="1:20" ht="39.950000000000003" customHeight="1" x14ac:dyDescent="0.25">
      <c r="A203" s="17" t="s">
        <v>320</v>
      </c>
      <c r="B203" s="18" t="s">
        <v>782</v>
      </c>
      <c r="C203" s="313" t="s">
        <v>525</v>
      </c>
      <c r="D203" s="313">
        <v>17035</v>
      </c>
      <c r="E203" s="313" t="s">
        <v>926</v>
      </c>
      <c r="F203" s="16">
        <v>0.77</v>
      </c>
      <c r="G203" s="16">
        <v>0.96</v>
      </c>
      <c r="H203" s="16">
        <v>0.96</v>
      </c>
      <c r="I203" s="313" t="s">
        <v>924</v>
      </c>
      <c r="J203" s="16">
        <v>0</v>
      </c>
      <c r="K203" s="16">
        <v>1.6000000000000001E-4</v>
      </c>
      <c r="L203" s="16">
        <v>1.6000000000000001E-4</v>
      </c>
      <c r="M203" s="313" t="s">
        <v>920</v>
      </c>
      <c r="N203" s="16">
        <v>0.54</v>
      </c>
      <c r="O203" s="16">
        <v>0.6</v>
      </c>
      <c r="P203" s="16">
        <v>0.6</v>
      </c>
      <c r="Q203" s="313" t="s">
        <v>920</v>
      </c>
      <c r="R203" s="16">
        <v>0.13900000000000001</v>
      </c>
      <c r="S203" s="16">
        <v>0.16200000000000001</v>
      </c>
      <c r="T203" s="16">
        <v>0.16200000000000001</v>
      </c>
    </row>
    <row r="204" spans="1:20" ht="39.950000000000003" customHeight="1" x14ac:dyDescent="0.25">
      <c r="A204" s="17" t="s">
        <v>251</v>
      </c>
      <c r="B204" s="18" t="s">
        <v>783</v>
      </c>
      <c r="C204" s="313" t="s">
        <v>525</v>
      </c>
      <c r="D204" s="313">
        <v>17035</v>
      </c>
      <c r="E204" s="313" t="s">
        <v>920</v>
      </c>
      <c r="F204" s="16">
        <v>2.17</v>
      </c>
      <c r="G204" s="16">
        <v>2.72</v>
      </c>
      <c r="H204" s="16">
        <v>2.72</v>
      </c>
      <c r="I204" s="313" t="s">
        <v>922</v>
      </c>
      <c r="J204" s="16">
        <v>3.1</v>
      </c>
      <c r="K204" s="16">
        <v>3.88</v>
      </c>
      <c r="L204" s="16">
        <v>3.88</v>
      </c>
      <c r="M204" s="313" t="s">
        <v>922</v>
      </c>
      <c r="N204" s="16">
        <v>1.81</v>
      </c>
      <c r="O204" s="16">
        <v>2.04</v>
      </c>
      <c r="P204" s="16">
        <v>2.04</v>
      </c>
      <c r="Q204" s="313" t="s">
        <v>922</v>
      </c>
      <c r="R204" s="16">
        <v>0.33300000000000002</v>
      </c>
      <c r="S204" s="16">
        <v>0.38800000000000001</v>
      </c>
      <c r="T204" s="16">
        <v>0.38800000000000001</v>
      </c>
    </row>
    <row r="205" spans="1:20" ht="39.950000000000003" customHeight="1" x14ac:dyDescent="0.25">
      <c r="A205" s="17" t="s">
        <v>294</v>
      </c>
      <c r="B205" s="18" t="s">
        <v>784</v>
      </c>
      <c r="C205" s="313" t="s">
        <v>525</v>
      </c>
      <c r="D205" s="313">
        <v>17035</v>
      </c>
      <c r="E205" s="313" t="s">
        <v>921</v>
      </c>
      <c r="F205" s="16">
        <v>4.79</v>
      </c>
      <c r="G205" s="16">
        <v>5.99</v>
      </c>
      <c r="H205" s="16">
        <v>5.99</v>
      </c>
      <c r="I205" s="313" t="s">
        <v>922</v>
      </c>
      <c r="J205" s="16">
        <v>3.56</v>
      </c>
      <c r="K205" s="16">
        <v>4.46</v>
      </c>
      <c r="L205" s="16">
        <v>4.46</v>
      </c>
      <c r="M205" s="313" t="s">
        <v>922</v>
      </c>
      <c r="N205" s="16">
        <v>2.0099999999999998</v>
      </c>
      <c r="O205" s="16">
        <v>2.25</v>
      </c>
      <c r="P205" s="16">
        <v>2.25</v>
      </c>
      <c r="Q205" s="313" t="s">
        <v>927</v>
      </c>
      <c r="R205" s="16">
        <v>0.42</v>
      </c>
      <c r="S205" s="16">
        <v>0.48799999999999999</v>
      </c>
      <c r="T205" s="16">
        <v>0.42</v>
      </c>
    </row>
    <row r="206" spans="1:20" ht="39.950000000000003" customHeight="1" x14ac:dyDescent="0.25">
      <c r="A206" s="17" t="s">
        <v>785</v>
      </c>
      <c r="B206" s="18" t="s">
        <v>786</v>
      </c>
      <c r="C206" s="313" t="s">
        <v>525</v>
      </c>
      <c r="D206" s="313">
        <v>17035</v>
      </c>
      <c r="E206" s="313" t="s">
        <v>924</v>
      </c>
      <c r="F206" s="16">
        <v>0</v>
      </c>
      <c r="G206" s="16">
        <v>1.02E-4</v>
      </c>
      <c r="H206" s="16">
        <v>1.02E-4</v>
      </c>
      <c r="I206" s="313" t="s">
        <v>924</v>
      </c>
      <c r="J206" s="16">
        <v>0</v>
      </c>
      <c r="K206" s="16">
        <v>2.1100000000000001E-4</v>
      </c>
      <c r="L206" s="16">
        <v>2.1100000000000001E-4</v>
      </c>
      <c r="M206" s="313" t="s">
        <v>924</v>
      </c>
      <c r="N206" s="16">
        <v>0</v>
      </c>
      <c r="O206" s="16">
        <v>1.3899999999999999E-4</v>
      </c>
      <c r="P206" s="16">
        <v>1.3899999999999999E-4</v>
      </c>
      <c r="Q206" s="313" t="s">
        <v>924</v>
      </c>
      <c r="R206" s="16">
        <v>0</v>
      </c>
      <c r="S206" s="16">
        <v>1.5799999999999999E-4</v>
      </c>
      <c r="T206" s="16">
        <v>1.5799999999999999E-4</v>
      </c>
    </row>
    <row r="207" spans="1:20" ht="39.950000000000003" customHeight="1" x14ac:dyDescent="0.25">
      <c r="A207" s="17" t="s">
        <v>787</v>
      </c>
      <c r="B207" s="18" t="s">
        <v>788</v>
      </c>
      <c r="C207" s="313" t="s">
        <v>525</v>
      </c>
      <c r="D207" s="313">
        <v>17035</v>
      </c>
      <c r="E207" s="313" t="s">
        <v>924</v>
      </c>
      <c r="F207" s="16">
        <v>0</v>
      </c>
      <c r="G207" s="16">
        <v>1.1E-4</v>
      </c>
      <c r="H207" s="16">
        <v>1.1E-4</v>
      </c>
      <c r="I207" s="313" t="s">
        <v>924</v>
      </c>
      <c r="J207" s="16">
        <v>0</v>
      </c>
      <c r="K207" s="16">
        <v>2.24E-4</v>
      </c>
      <c r="L207" s="16">
        <v>2.24E-4</v>
      </c>
      <c r="M207" s="313" t="s">
        <v>924</v>
      </c>
      <c r="N207" s="16">
        <v>0</v>
      </c>
      <c r="O207" s="16">
        <v>1.4899999999999999E-4</v>
      </c>
      <c r="P207" s="16">
        <v>1.4899999999999999E-4</v>
      </c>
      <c r="Q207" s="313" t="s">
        <v>924</v>
      </c>
      <c r="R207" s="16">
        <v>0</v>
      </c>
      <c r="S207" s="16">
        <v>1.6899999999999999E-4</v>
      </c>
      <c r="T207" s="16">
        <v>1.6899999999999999E-4</v>
      </c>
    </row>
    <row r="208" spans="1:20" ht="39.950000000000003" customHeight="1" x14ac:dyDescent="0.25">
      <c r="A208" s="17" t="s">
        <v>426</v>
      </c>
      <c r="B208" s="18" t="s">
        <v>789</v>
      </c>
      <c r="C208" s="313" t="s">
        <v>525</v>
      </c>
      <c r="D208" s="313">
        <v>17035</v>
      </c>
      <c r="E208" s="313" t="s">
        <v>923</v>
      </c>
      <c r="F208" s="16">
        <v>1.05</v>
      </c>
      <c r="G208" s="16">
        <v>1.320001</v>
      </c>
      <c r="H208" s="16">
        <v>1.320001</v>
      </c>
      <c r="I208" s="313" t="s">
        <v>921</v>
      </c>
      <c r="J208" s="16">
        <v>1.3</v>
      </c>
      <c r="K208" s="16">
        <v>1.63</v>
      </c>
      <c r="L208" s="16">
        <v>1.63</v>
      </c>
      <c r="M208" s="313" t="s">
        <v>921</v>
      </c>
      <c r="N208" s="16">
        <v>0.99</v>
      </c>
      <c r="O208" s="16">
        <v>1.1100000000000001</v>
      </c>
      <c r="P208" s="16">
        <v>1.1100000000000001</v>
      </c>
      <c r="Q208" s="313" t="s">
        <v>921</v>
      </c>
      <c r="R208" s="16">
        <v>0.23100000000000001</v>
      </c>
      <c r="S208" s="16">
        <v>0.26800000000000002</v>
      </c>
      <c r="T208" s="16">
        <v>0.26800000000000002</v>
      </c>
    </row>
    <row r="209" spans="1:20" ht="39.950000000000003" customHeight="1" x14ac:dyDescent="0.25">
      <c r="A209" s="17" t="s">
        <v>429</v>
      </c>
      <c r="B209" s="18" t="s">
        <v>790</v>
      </c>
      <c r="C209" s="313" t="s">
        <v>525</v>
      </c>
      <c r="D209" s="313">
        <v>17035</v>
      </c>
      <c r="E209" s="313" t="s">
        <v>922</v>
      </c>
      <c r="F209" s="16">
        <v>4.95</v>
      </c>
      <c r="G209" s="16">
        <v>6.18</v>
      </c>
      <c r="H209" s="16">
        <v>6.18</v>
      </c>
      <c r="I209" s="313" t="s">
        <v>921</v>
      </c>
      <c r="J209" s="16">
        <v>1.66</v>
      </c>
      <c r="K209" s="16">
        <v>2.08</v>
      </c>
      <c r="L209" s="16">
        <v>2.08</v>
      </c>
      <c r="M209" s="313" t="s">
        <v>922</v>
      </c>
      <c r="N209" s="16">
        <v>1.6</v>
      </c>
      <c r="O209" s="16">
        <v>1.79</v>
      </c>
      <c r="P209" s="16">
        <v>1.79</v>
      </c>
      <c r="Q209" s="313" t="s">
        <v>921</v>
      </c>
      <c r="R209" s="16">
        <v>0.307</v>
      </c>
      <c r="S209" s="16">
        <v>0.35699999999999998</v>
      </c>
      <c r="T209" s="16">
        <v>0.35699999999999998</v>
      </c>
    </row>
    <row r="210" spans="1:20" ht="39.950000000000003" customHeight="1" x14ac:dyDescent="0.25">
      <c r="A210" s="17" t="s">
        <v>272</v>
      </c>
      <c r="B210" s="18" t="s">
        <v>791</v>
      </c>
      <c r="C210" s="313" t="s">
        <v>525</v>
      </c>
      <c r="D210" s="313">
        <v>17035</v>
      </c>
      <c r="E210" s="313" t="s">
        <v>926</v>
      </c>
      <c r="F210" s="16">
        <v>0.65</v>
      </c>
      <c r="G210" s="16">
        <v>0.82</v>
      </c>
      <c r="H210" s="16">
        <v>0.82</v>
      </c>
      <c r="I210" s="313" t="s">
        <v>924</v>
      </c>
      <c r="J210" s="16">
        <v>0</v>
      </c>
      <c r="K210" s="16">
        <v>2.3900000000000001E-4</v>
      </c>
      <c r="L210" s="16">
        <v>2.3900000000000001E-4</v>
      </c>
      <c r="M210" s="313" t="s">
        <v>920</v>
      </c>
      <c r="N210" s="16">
        <v>0.73</v>
      </c>
      <c r="O210" s="16">
        <v>0.82</v>
      </c>
      <c r="P210" s="16">
        <v>0.82</v>
      </c>
      <c r="Q210" s="313" t="s">
        <v>920</v>
      </c>
      <c r="R210" s="16">
        <v>0.16300000000000001</v>
      </c>
      <c r="S210" s="16">
        <v>0.189</v>
      </c>
      <c r="T210" s="16">
        <v>0.189</v>
      </c>
    </row>
    <row r="211" spans="1:20" ht="39.950000000000003" customHeight="1" x14ac:dyDescent="0.25">
      <c r="A211" s="313" t="s">
        <v>792</v>
      </c>
      <c r="B211" s="18" t="s">
        <v>793</v>
      </c>
      <c r="C211" s="313" t="s">
        <v>370</v>
      </c>
      <c r="D211" s="313">
        <v>17036</v>
      </c>
      <c r="E211" s="313" t="s">
        <v>924</v>
      </c>
      <c r="F211" s="16">
        <v>0</v>
      </c>
      <c r="G211" s="16">
        <v>3.9999999999999998E-6</v>
      </c>
      <c r="H211" s="16">
        <v>3.9999999999999998E-6</v>
      </c>
      <c r="I211" s="313" t="s">
        <v>924</v>
      </c>
      <c r="J211" s="16">
        <v>0</v>
      </c>
      <c r="K211" s="16">
        <v>6.0000000000000002E-6</v>
      </c>
      <c r="L211" s="16">
        <v>6.0000000000000002E-6</v>
      </c>
      <c r="M211" s="313" t="s">
        <v>924</v>
      </c>
      <c r="N211" s="16">
        <v>0</v>
      </c>
      <c r="O211" s="16">
        <v>3.9999999999999998E-6</v>
      </c>
      <c r="P211" s="16">
        <v>3.9999999999999998E-6</v>
      </c>
      <c r="Q211" s="313" t="s">
        <v>924</v>
      </c>
      <c r="R211" s="16">
        <v>0</v>
      </c>
      <c r="S211" s="16">
        <v>3.9999999999999998E-6</v>
      </c>
      <c r="T211" s="16">
        <v>3.9999999999999998E-6</v>
      </c>
    </row>
    <row r="212" spans="1:20" ht="39.950000000000003" customHeight="1" x14ac:dyDescent="0.25">
      <c r="A212" s="17" t="s">
        <v>527</v>
      </c>
      <c r="B212" s="18" t="s">
        <v>794</v>
      </c>
      <c r="C212" s="313" t="s">
        <v>370</v>
      </c>
      <c r="D212" s="313">
        <v>17036</v>
      </c>
      <c r="E212" s="313" t="s">
        <v>924</v>
      </c>
      <c r="F212" s="16">
        <v>0</v>
      </c>
      <c r="G212" s="16">
        <v>6.0000000000000002E-6</v>
      </c>
      <c r="H212" s="16">
        <v>6.0000000000000002E-6</v>
      </c>
      <c r="I212" s="313" t="s">
        <v>924</v>
      </c>
      <c r="J212" s="16">
        <v>0</v>
      </c>
      <c r="K212" s="16">
        <v>9.0000000000000002E-6</v>
      </c>
      <c r="L212" s="16">
        <v>9.0000000000000002E-6</v>
      </c>
      <c r="M212" s="313" t="s">
        <v>924</v>
      </c>
      <c r="N212" s="16">
        <v>0</v>
      </c>
      <c r="O212" s="16">
        <v>6.9999999999999999E-6</v>
      </c>
      <c r="P212" s="16">
        <v>6.9999999999999999E-6</v>
      </c>
      <c r="Q212" s="313" t="s">
        <v>924</v>
      </c>
      <c r="R212" s="16">
        <v>0</v>
      </c>
      <c r="S212" s="16">
        <v>6.9999999999999999E-6</v>
      </c>
      <c r="T212" s="16">
        <v>6.9999999999999999E-6</v>
      </c>
    </row>
    <row r="213" spans="1:20" ht="39.950000000000003" customHeight="1" x14ac:dyDescent="0.25">
      <c r="A213" s="17" t="s">
        <v>394</v>
      </c>
      <c r="B213" s="18" t="s">
        <v>795</v>
      </c>
      <c r="C213" s="313" t="s">
        <v>370</v>
      </c>
      <c r="D213" s="313">
        <v>17036</v>
      </c>
      <c r="E213" s="313" t="s">
        <v>924</v>
      </c>
      <c r="F213" s="16">
        <v>0</v>
      </c>
      <c r="G213" s="16">
        <v>6.9999999999999999E-6</v>
      </c>
      <c r="H213" s="16">
        <v>6.9999999999999999E-6</v>
      </c>
      <c r="I213" s="313" t="s">
        <v>924</v>
      </c>
      <c r="J213" s="16">
        <v>0</v>
      </c>
      <c r="K213" s="16">
        <v>1.0000000000000001E-5</v>
      </c>
      <c r="L213" s="16">
        <v>1.0000000000000001E-5</v>
      </c>
      <c r="M213" s="313" t="s">
        <v>924</v>
      </c>
      <c r="N213" s="16">
        <v>0</v>
      </c>
      <c r="O213" s="16">
        <v>7.9999999999999996E-6</v>
      </c>
      <c r="P213" s="16">
        <v>7.9999999999999996E-6</v>
      </c>
      <c r="Q213" s="313" t="s">
        <v>924</v>
      </c>
      <c r="R213" s="16">
        <v>0</v>
      </c>
      <c r="S213" s="16">
        <v>7.9999999999999996E-6</v>
      </c>
      <c r="T213" s="16">
        <v>7.9999999999999996E-6</v>
      </c>
    </row>
    <row r="214" spans="1:20" ht="39.950000000000003" customHeight="1" x14ac:dyDescent="0.25">
      <c r="A214" s="313" t="s">
        <v>461</v>
      </c>
      <c r="B214" s="18" t="s">
        <v>796</v>
      </c>
      <c r="C214" s="313" t="s">
        <v>370</v>
      </c>
      <c r="D214" s="313">
        <v>17036</v>
      </c>
      <c r="E214" s="313" t="s">
        <v>924</v>
      </c>
      <c r="F214" s="16">
        <v>0</v>
      </c>
      <c r="G214" s="16">
        <v>7.9999999999999996E-6</v>
      </c>
      <c r="H214" s="16">
        <v>7.9999999999999996E-6</v>
      </c>
      <c r="I214" s="313" t="s">
        <v>924</v>
      </c>
      <c r="J214" s="16">
        <v>0</v>
      </c>
      <c r="K214" s="16">
        <v>1.1E-5</v>
      </c>
      <c r="L214" s="16">
        <v>1.1E-5</v>
      </c>
      <c r="M214" s="313" t="s">
        <v>924</v>
      </c>
      <c r="N214" s="16">
        <v>0</v>
      </c>
      <c r="O214" s="16">
        <v>9.0000000000000002E-6</v>
      </c>
      <c r="P214" s="16">
        <v>9.0000000000000002E-6</v>
      </c>
      <c r="Q214" s="313" t="s">
        <v>924</v>
      </c>
      <c r="R214" s="16">
        <v>0</v>
      </c>
      <c r="S214" s="16">
        <v>9.0000000000000002E-6</v>
      </c>
      <c r="T214" s="16">
        <v>9.0000000000000002E-6</v>
      </c>
    </row>
    <row r="215" spans="1:20" ht="39.950000000000003" customHeight="1" x14ac:dyDescent="0.25">
      <c r="A215" s="17" t="s">
        <v>440</v>
      </c>
      <c r="B215" s="18" t="s">
        <v>797</v>
      </c>
      <c r="C215" s="313" t="s">
        <v>370</v>
      </c>
      <c r="D215" s="313">
        <v>17036</v>
      </c>
      <c r="E215" s="313" t="s">
        <v>924</v>
      </c>
      <c r="F215" s="16">
        <v>0</v>
      </c>
      <c r="G215" s="16">
        <v>9.0000000000000002E-6</v>
      </c>
      <c r="H215" s="16">
        <v>9.0000000000000002E-6</v>
      </c>
      <c r="I215" s="313" t="s">
        <v>924</v>
      </c>
      <c r="J215" s="16">
        <v>0</v>
      </c>
      <c r="K215" s="16">
        <v>1.2E-5</v>
      </c>
      <c r="L215" s="16">
        <v>1.2E-5</v>
      </c>
      <c r="M215" s="313" t="s">
        <v>924</v>
      </c>
      <c r="N215" s="16">
        <v>0</v>
      </c>
      <c r="O215" s="16">
        <v>1.0000000000000001E-5</v>
      </c>
      <c r="P215" s="16">
        <v>1.0000000000000001E-5</v>
      </c>
      <c r="Q215" s="313" t="s">
        <v>924</v>
      </c>
      <c r="R215" s="16">
        <v>0</v>
      </c>
      <c r="S215" s="16">
        <v>1.0000000000000001E-5</v>
      </c>
      <c r="T215" s="16">
        <v>1.0000000000000001E-5</v>
      </c>
    </row>
    <row r="216" spans="1:20" ht="39.950000000000003" customHeight="1" x14ac:dyDescent="0.25">
      <c r="A216" s="17" t="s">
        <v>399</v>
      </c>
      <c r="B216" s="18" t="s">
        <v>798</v>
      </c>
      <c r="C216" s="313" t="s">
        <v>370</v>
      </c>
      <c r="D216" s="313">
        <v>17036</v>
      </c>
      <c r="E216" s="313" t="s">
        <v>924</v>
      </c>
      <c r="F216" s="16">
        <v>0</v>
      </c>
      <c r="G216" s="16">
        <v>1.0000000000000001E-5</v>
      </c>
      <c r="H216" s="16">
        <v>1.0000000000000001E-5</v>
      </c>
      <c r="I216" s="313" t="s">
        <v>924</v>
      </c>
      <c r="J216" s="16">
        <v>0</v>
      </c>
      <c r="K216" s="16">
        <v>1.2999999999999999E-5</v>
      </c>
      <c r="L216" s="16">
        <v>1.2999999999999999E-5</v>
      </c>
      <c r="M216" s="313" t="s">
        <v>924</v>
      </c>
      <c r="N216" s="16">
        <v>0</v>
      </c>
      <c r="O216" s="16">
        <v>1.1E-5</v>
      </c>
      <c r="P216" s="16">
        <v>1.1E-5</v>
      </c>
      <c r="Q216" s="313" t="s">
        <v>924</v>
      </c>
      <c r="R216" s="16">
        <v>0</v>
      </c>
      <c r="S216" s="16">
        <v>1.1E-5</v>
      </c>
      <c r="T216" s="16">
        <v>1.1E-5</v>
      </c>
    </row>
    <row r="217" spans="1:20" ht="39.950000000000003" customHeight="1" x14ac:dyDescent="0.25">
      <c r="A217" s="17" t="s">
        <v>799</v>
      </c>
      <c r="B217" s="18" t="s">
        <v>800</v>
      </c>
      <c r="C217" s="313" t="s">
        <v>370</v>
      </c>
      <c r="D217" s="313">
        <v>17036</v>
      </c>
      <c r="E217" s="313" t="s">
        <v>924</v>
      </c>
      <c r="F217" s="16">
        <v>0</v>
      </c>
      <c r="G217" s="16">
        <v>1.1E-5</v>
      </c>
      <c r="H217" s="16">
        <v>1.1E-5</v>
      </c>
      <c r="I217" s="313" t="s">
        <v>924</v>
      </c>
      <c r="J217" s="16">
        <v>0</v>
      </c>
      <c r="K217" s="16">
        <v>1.4E-5</v>
      </c>
      <c r="L217" s="16">
        <v>1.4E-5</v>
      </c>
      <c r="M217" s="313" t="s">
        <v>924</v>
      </c>
      <c r="N217" s="16">
        <v>0</v>
      </c>
      <c r="O217" s="16">
        <v>1.2E-5</v>
      </c>
      <c r="P217" s="16">
        <v>1.2E-5</v>
      </c>
      <c r="Q217" s="313" t="s">
        <v>924</v>
      </c>
      <c r="R217" s="16">
        <v>0</v>
      </c>
      <c r="S217" s="16">
        <v>1.2E-5</v>
      </c>
      <c r="T217" s="16">
        <v>1.2E-5</v>
      </c>
    </row>
    <row r="218" spans="1:20" ht="39.950000000000003" customHeight="1" x14ac:dyDescent="0.25">
      <c r="A218" s="17" t="s">
        <v>400</v>
      </c>
      <c r="B218" s="18" t="s">
        <v>801</v>
      </c>
      <c r="C218" s="313" t="s">
        <v>370</v>
      </c>
      <c r="D218" s="313">
        <v>17036</v>
      </c>
      <c r="E218" s="313" t="s">
        <v>924</v>
      </c>
      <c r="F218" s="16">
        <v>0</v>
      </c>
      <c r="G218" s="16">
        <v>1.2E-5</v>
      </c>
      <c r="H218" s="16">
        <v>1.2E-5</v>
      </c>
      <c r="I218" s="313" t="s">
        <v>924</v>
      </c>
      <c r="J218" s="16">
        <v>0</v>
      </c>
      <c r="K218" s="16">
        <v>1.5E-5</v>
      </c>
      <c r="L218" s="16">
        <v>1.5E-5</v>
      </c>
      <c r="M218" s="313" t="s">
        <v>924</v>
      </c>
      <c r="N218" s="16">
        <v>0</v>
      </c>
      <c r="O218" s="16">
        <v>1.2999999999999999E-5</v>
      </c>
      <c r="P218" s="16">
        <v>1.2999999999999999E-5</v>
      </c>
      <c r="Q218" s="313" t="s">
        <v>924</v>
      </c>
      <c r="R218" s="16">
        <v>0</v>
      </c>
      <c r="S218" s="16">
        <v>1.2999999999999999E-5</v>
      </c>
      <c r="T218" s="16">
        <v>1.2999999999999999E-5</v>
      </c>
    </row>
    <row r="219" spans="1:20" ht="39.950000000000003" customHeight="1" x14ac:dyDescent="0.25">
      <c r="A219" s="17" t="s">
        <v>398</v>
      </c>
      <c r="B219" s="18" t="s">
        <v>802</v>
      </c>
      <c r="C219" s="313" t="s">
        <v>370</v>
      </c>
      <c r="D219" s="313">
        <v>17036</v>
      </c>
      <c r="E219" s="313" t="s">
        <v>924</v>
      </c>
      <c r="F219" s="16">
        <v>0</v>
      </c>
      <c r="G219" s="16">
        <v>1.2999999999999999E-5</v>
      </c>
      <c r="H219" s="16">
        <v>1.2999999999999999E-5</v>
      </c>
      <c r="I219" s="313" t="s">
        <v>924</v>
      </c>
      <c r="J219" s="16">
        <v>0</v>
      </c>
      <c r="K219" s="16">
        <v>1.5999999999999999E-5</v>
      </c>
      <c r="L219" s="16">
        <v>1.5999999999999999E-5</v>
      </c>
      <c r="M219" s="313" t="s">
        <v>924</v>
      </c>
      <c r="N219" s="16">
        <v>0</v>
      </c>
      <c r="O219" s="16">
        <v>1.4E-5</v>
      </c>
      <c r="P219" s="16">
        <v>1.4E-5</v>
      </c>
      <c r="Q219" s="313" t="s">
        <v>924</v>
      </c>
      <c r="R219" s="16">
        <v>0</v>
      </c>
      <c r="S219" s="16">
        <v>1.4E-5</v>
      </c>
      <c r="T219" s="16">
        <v>1.4E-5</v>
      </c>
    </row>
    <row r="220" spans="1:20" ht="39.950000000000003" customHeight="1" x14ac:dyDescent="0.25">
      <c r="A220" s="313" t="s">
        <v>290</v>
      </c>
      <c r="B220" s="18" t="s">
        <v>803</v>
      </c>
      <c r="C220" s="313" t="s">
        <v>370</v>
      </c>
      <c r="D220" s="313">
        <v>17036</v>
      </c>
      <c r="E220" s="313" t="s">
        <v>923</v>
      </c>
      <c r="F220" s="16">
        <v>1.29</v>
      </c>
      <c r="G220" s="16">
        <v>1.620001</v>
      </c>
      <c r="H220" s="16">
        <v>1.620001</v>
      </c>
      <c r="I220" s="313" t="s">
        <v>921</v>
      </c>
      <c r="J220" s="16">
        <v>1.52</v>
      </c>
      <c r="K220" s="16">
        <v>1.9000010000000001</v>
      </c>
      <c r="L220" s="16">
        <v>1.9000010000000001</v>
      </c>
      <c r="M220" s="313" t="s">
        <v>921</v>
      </c>
      <c r="N220" s="16">
        <v>0.7</v>
      </c>
      <c r="O220" s="16">
        <v>0.79</v>
      </c>
      <c r="P220" s="16">
        <v>0.79</v>
      </c>
      <c r="Q220" s="313" t="s">
        <v>921</v>
      </c>
      <c r="R220" s="16">
        <v>0.19400000000000001</v>
      </c>
      <c r="S220" s="16">
        <v>0.22600000000000001</v>
      </c>
      <c r="T220" s="16">
        <v>0.22600000000000001</v>
      </c>
    </row>
    <row r="221" spans="1:20" ht="39.950000000000003" customHeight="1" x14ac:dyDescent="0.25">
      <c r="A221" s="17" t="s">
        <v>391</v>
      </c>
      <c r="B221" s="18" t="s">
        <v>804</v>
      </c>
      <c r="C221" s="313" t="s">
        <v>370</v>
      </c>
      <c r="D221" s="313">
        <v>17036</v>
      </c>
      <c r="E221" s="313" t="s">
        <v>924</v>
      </c>
      <c r="F221" s="16">
        <v>0</v>
      </c>
      <c r="G221" s="16">
        <v>1.5999999999999999E-5</v>
      </c>
      <c r="H221" s="16">
        <v>1.5999999999999999E-5</v>
      </c>
      <c r="I221" s="313" t="s">
        <v>924</v>
      </c>
      <c r="J221" s="16">
        <v>0</v>
      </c>
      <c r="K221" s="16">
        <v>2.0000000000000002E-5</v>
      </c>
      <c r="L221" s="16">
        <v>2.0000000000000002E-5</v>
      </c>
      <c r="M221" s="313" t="s">
        <v>924</v>
      </c>
      <c r="N221" s="16">
        <v>0</v>
      </c>
      <c r="O221" s="16">
        <v>1.7E-5</v>
      </c>
      <c r="P221" s="16">
        <v>1.7E-5</v>
      </c>
      <c r="Q221" s="313" t="s">
        <v>924</v>
      </c>
      <c r="R221" s="16">
        <v>0</v>
      </c>
      <c r="S221" s="16">
        <v>1.7E-5</v>
      </c>
      <c r="T221" s="16">
        <v>1.7E-5</v>
      </c>
    </row>
    <row r="222" spans="1:20" ht="39.950000000000003" customHeight="1" x14ac:dyDescent="0.25">
      <c r="A222" s="17" t="s">
        <v>392</v>
      </c>
      <c r="B222" s="18" t="s">
        <v>805</v>
      </c>
      <c r="C222" s="313" t="s">
        <v>370</v>
      </c>
      <c r="D222" s="313">
        <v>17036</v>
      </c>
      <c r="E222" s="313" t="s">
        <v>924</v>
      </c>
      <c r="F222" s="16">
        <v>0</v>
      </c>
      <c r="G222" s="16">
        <v>1.7E-5</v>
      </c>
      <c r="H222" s="16">
        <v>1.7E-5</v>
      </c>
      <c r="I222" s="313" t="s">
        <v>924</v>
      </c>
      <c r="J222" s="16">
        <v>0</v>
      </c>
      <c r="K222" s="16">
        <v>2.0999999999999999E-5</v>
      </c>
      <c r="L222" s="16">
        <v>2.0999999999999999E-5</v>
      </c>
      <c r="M222" s="313" t="s">
        <v>924</v>
      </c>
      <c r="N222" s="16">
        <v>0</v>
      </c>
      <c r="O222" s="16">
        <v>1.8E-5</v>
      </c>
      <c r="P222" s="16">
        <v>1.8E-5</v>
      </c>
      <c r="Q222" s="313" t="s">
        <v>924</v>
      </c>
      <c r="R222" s="16">
        <v>0</v>
      </c>
      <c r="S222" s="16">
        <v>1.8E-5</v>
      </c>
      <c r="T222" s="16">
        <v>1.8E-5</v>
      </c>
    </row>
    <row r="223" spans="1:20" ht="39.950000000000003" customHeight="1" x14ac:dyDescent="0.25">
      <c r="A223" s="17" t="s">
        <v>528</v>
      </c>
      <c r="B223" s="18" t="s">
        <v>806</v>
      </c>
      <c r="C223" s="313" t="s">
        <v>370</v>
      </c>
      <c r="D223" s="313">
        <v>17036</v>
      </c>
      <c r="E223" s="313" t="s">
        <v>924</v>
      </c>
      <c r="F223" s="16">
        <v>0</v>
      </c>
      <c r="G223" s="16">
        <v>1.9000000000000001E-5</v>
      </c>
      <c r="H223" s="16">
        <v>1.9000000000000001E-5</v>
      </c>
      <c r="I223" s="313" t="s">
        <v>924</v>
      </c>
      <c r="J223" s="16">
        <v>0</v>
      </c>
      <c r="K223" s="16">
        <v>2.6999999999999999E-5</v>
      </c>
      <c r="L223" s="16">
        <v>2.6999999999999999E-5</v>
      </c>
      <c r="M223" s="313" t="s">
        <v>924</v>
      </c>
      <c r="N223" s="16">
        <v>0</v>
      </c>
      <c r="O223" s="16">
        <v>2.3E-5</v>
      </c>
      <c r="P223" s="16">
        <v>2.3E-5</v>
      </c>
      <c r="Q223" s="313" t="s">
        <v>924</v>
      </c>
      <c r="R223" s="16">
        <v>0</v>
      </c>
      <c r="S223" s="16">
        <v>2.0999999999999999E-5</v>
      </c>
      <c r="T223" s="16">
        <v>2.0999999999999999E-5</v>
      </c>
    </row>
    <row r="224" spans="1:20" ht="39.950000000000003" customHeight="1" x14ac:dyDescent="0.25">
      <c r="A224" s="17" t="s">
        <v>807</v>
      </c>
      <c r="B224" s="18" t="s">
        <v>808</v>
      </c>
      <c r="C224" s="313" t="s">
        <v>370</v>
      </c>
      <c r="D224" s="313">
        <v>17036</v>
      </c>
      <c r="E224" s="313" t="s">
        <v>924</v>
      </c>
      <c r="F224" s="16">
        <v>0</v>
      </c>
      <c r="G224" s="16">
        <v>2.0999999999999999E-5</v>
      </c>
      <c r="H224" s="16">
        <v>2.0999999999999999E-5</v>
      </c>
      <c r="I224" s="313" t="s">
        <v>924</v>
      </c>
      <c r="J224" s="16">
        <v>0</v>
      </c>
      <c r="K224" s="16">
        <v>2.9E-5</v>
      </c>
      <c r="L224" s="16">
        <v>2.9E-5</v>
      </c>
      <c r="M224" s="313" t="s">
        <v>924</v>
      </c>
      <c r="N224" s="16">
        <v>0</v>
      </c>
      <c r="O224" s="16">
        <v>2.5000000000000001E-5</v>
      </c>
      <c r="P224" s="16">
        <v>2.5000000000000001E-5</v>
      </c>
      <c r="Q224" s="313" t="s">
        <v>924</v>
      </c>
      <c r="R224" s="16">
        <v>0</v>
      </c>
      <c r="S224" s="16">
        <v>2.3E-5</v>
      </c>
      <c r="T224" s="16">
        <v>2.3E-5</v>
      </c>
    </row>
    <row r="225" spans="1:20" ht="39.950000000000003" customHeight="1" x14ac:dyDescent="0.25">
      <c r="A225" s="17" t="s">
        <v>442</v>
      </c>
      <c r="B225" s="18" t="s">
        <v>809</v>
      </c>
      <c r="C225" s="313" t="s">
        <v>370</v>
      </c>
      <c r="D225" s="313">
        <v>17036</v>
      </c>
      <c r="E225" s="313" t="s">
        <v>923</v>
      </c>
      <c r="F225" s="16">
        <v>1.25</v>
      </c>
      <c r="G225" s="16">
        <v>1.560001</v>
      </c>
      <c r="H225" s="16">
        <v>1.560001</v>
      </c>
      <c r="I225" s="313" t="s">
        <v>924</v>
      </c>
      <c r="J225" s="16">
        <v>0</v>
      </c>
      <c r="K225" s="16">
        <v>3.6000000000000001E-5</v>
      </c>
      <c r="L225" s="16">
        <v>3.6000000000000001E-5</v>
      </c>
      <c r="M225" s="313" t="s">
        <v>924</v>
      </c>
      <c r="N225" s="16">
        <v>0</v>
      </c>
      <c r="O225" s="16">
        <v>3.1000000000000001E-5</v>
      </c>
      <c r="P225" s="16">
        <v>3.1000000000000001E-5</v>
      </c>
      <c r="Q225" s="313" t="s">
        <v>921</v>
      </c>
      <c r="R225" s="16">
        <v>0.246</v>
      </c>
      <c r="S225" s="16">
        <v>0.28600100000000001</v>
      </c>
      <c r="T225" s="16">
        <v>0.28600100000000001</v>
      </c>
    </row>
    <row r="226" spans="1:20" ht="39.950000000000003" customHeight="1" x14ac:dyDescent="0.25">
      <c r="A226" s="17" t="s">
        <v>374</v>
      </c>
      <c r="B226" s="18" t="s">
        <v>810</v>
      </c>
      <c r="C226" s="313" t="s">
        <v>370</v>
      </c>
      <c r="D226" s="313">
        <v>17036</v>
      </c>
      <c r="E226" s="313" t="s">
        <v>924</v>
      </c>
      <c r="F226" s="16">
        <v>0</v>
      </c>
      <c r="G226" s="16">
        <v>2.4000000000000001E-5</v>
      </c>
      <c r="H226" s="16">
        <v>2.4000000000000001E-5</v>
      </c>
      <c r="I226" s="313" t="s">
        <v>924</v>
      </c>
      <c r="J226" s="16">
        <v>0</v>
      </c>
      <c r="K226" s="16">
        <v>3.8000000000000002E-5</v>
      </c>
      <c r="L226" s="16">
        <v>3.8000000000000002E-5</v>
      </c>
      <c r="M226" s="313" t="s">
        <v>924</v>
      </c>
      <c r="N226" s="16">
        <v>0</v>
      </c>
      <c r="O226" s="16">
        <v>3.1999999999999999E-5</v>
      </c>
      <c r="P226" s="16">
        <v>3.1999999999999999E-5</v>
      </c>
      <c r="Q226" s="313" t="s">
        <v>924</v>
      </c>
      <c r="R226" s="16">
        <v>0</v>
      </c>
      <c r="S226" s="16">
        <v>2.6999999999999999E-5</v>
      </c>
      <c r="T226" s="16">
        <v>2.6999999999999999E-5</v>
      </c>
    </row>
    <row r="227" spans="1:20" ht="39.950000000000003" customHeight="1" x14ac:dyDescent="0.25">
      <c r="A227" s="17" t="s">
        <v>319</v>
      </c>
      <c r="B227" s="18" t="s">
        <v>811</v>
      </c>
      <c r="C227" s="313" t="s">
        <v>370</v>
      </c>
      <c r="D227" s="313">
        <v>17036</v>
      </c>
      <c r="E227" s="313" t="s">
        <v>923</v>
      </c>
      <c r="F227" s="16">
        <v>1.1299999999999999</v>
      </c>
      <c r="G227" s="16">
        <v>1.4100010000000001</v>
      </c>
      <c r="H227" s="16">
        <v>1.4100010000000001</v>
      </c>
      <c r="I227" s="313" t="s">
        <v>924</v>
      </c>
      <c r="J227" s="16">
        <v>0</v>
      </c>
      <c r="K227" s="16">
        <v>4.3000000000000002E-5</v>
      </c>
      <c r="L227" s="16">
        <v>4.3000000000000002E-5</v>
      </c>
      <c r="M227" s="313" t="s">
        <v>921</v>
      </c>
      <c r="N227" s="16">
        <v>0.96</v>
      </c>
      <c r="O227" s="16">
        <v>1.080001</v>
      </c>
      <c r="P227" s="16">
        <v>1.080001</v>
      </c>
      <c r="Q227" s="313" t="s">
        <v>921</v>
      </c>
      <c r="R227" s="16">
        <v>0.26200000000000001</v>
      </c>
      <c r="S227" s="16">
        <v>0.30499999999999999</v>
      </c>
      <c r="T227" s="16">
        <v>0.30499999999999999</v>
      </c>
    </row>
    <row r="228" spans="1:20" ht="39.950000000000003" customHeight="1" x14ac:dyDescent="0.25">
      <c r="A228" s="313" t="s">
        <v>463</v>
      </c>
      <c r="B228" s="18" t="s">
        <v>812</v>
      </c>
      <c r="C228" s="313" t="s">
        <v>370</v>
      </c>
      <c r="D228" s="313">
        <v>17036</v>
      </c>
      <c r="E228" s="313" t="s">
        <v>924</v>
      </c>
      <c r="F228" s="16">
        <v>0</v>
      </c>
      <c r="G228" s="16">
        <v>2.6999999999999999E-5</v>
      </c>
      <c r="H228" s="16">
        <v>2.6999999999999999E-5</v>
      </c>
      <c r="I228" s="313" t="s">
        <v>924</v>
      </c>
      <c r="J228" s="16">
        <v>0</v>
      </c>
      <c r="K228" s="16">
        <v>4.3999999999999999E-5</v>
      </c>
      <c r="L228" s="16">
        <v>4.3999999999999999E-5</v>
      </c>
      <c r="M228" s="313" t="s">
        <v>924</v>
      </c>
      <c r="N228" s="16">
        <v>0</v>
      </c>
      <c r="O228" s="16">
        <v>3.4E-5</v>
      </c>
      <c r="P228" s="16">
        <v>3.4E-5</v>
      </c>
      <c r="Q228" s="313" t="s">
        <v>924</v>
      </c>
      <c r="R228" s="16">
        <v>0</v>
      </c>
      <c r="S228" s="16">
        <v>2.9E-5</v>
      </c>
      <c r="T228" s="16">
        <v>2.9E-5</v>
      </c>
    </row>
    <row r="229" spans="1:20" ht="39.950000000000003" customHeight="1" x14ac:dyDescent="0.25">
      <c r="A229" s="17" t="s">
        <v>407</v>
      </c>
      <c r="B229" s="18" t="s">
        <v>813</v>
      </c>
      <c r="C229" s="313" t="s">
        <v>370</v>
      </c>
      <c r="D229" s="313">
        <v>17036</v>
      </c>
      <c r="E229" s="313" t="s">
        <v>926</v>
      </c>
      <c r="F229" s="16">
        <v>0.7</v>
      </c>
      <c r="G229" s="16">
        <v>0.88000100000000003</v>
      </c>
      <c r="H229" s="16">
        <v>0.88000100000000003</v>
      </c>
      <c r="I229" s="313" t="s">
        <v>924</v>
      </c>
      <c r="J229" s="16">
        <v>0</v>
      </c>
      <c r="K229" s="16">
        <v>4.6E-5</v>
      </c>
      <c r="L229" s="16">
        <v>4.6E-5</v>
      </c>
      <c r="M229" s="313" t="s">
        <v>924</v>
      </c>
      <c r="N229" s="16">
        <v>0</v>
      </c>
      <c r="O229" s="16">
        <v>3.6000000000000001E-5</v>
      </c>
      <c r="P229" s="16">
        <v>3.6000000000000001E-5</v>
      </c>
      <c r="Q229" s="313" t="s">
        <v>924</v>
      </c>
      <c r="R229" s="16">
        <v>0</v>
      </c>
      <c r="S229" s="16">
        <v>3.1000000000000001E-5</v>
      </c>
      <c r="T229" s="16">
        <v>3.1000000000000001E-5</v>
      </c>
    </row>
    <row r="230" spans="1:20" ht="39.950000000000003" customHeight="1" x14ac:dyDescent="0.25">
      <c r="A230" s="17" t="s">
        <v>814</v>
      </c>
      <c r="B230" s="18" t="s">
        <v>815</v>
      </c>
      <c r="C230" s="313" t="s">
        <v>370</v>
      </c>
      <c r="D230" s="313">
        <v>17036</v>
      </c>
      <c r="E230" s="313" t="s">
        <v>924</v>
      </c>
      <c r="F230" s="16">
        <v>0</v>
      </c>
      <c r="G230" s="16">
        <v>2.9E-5</v>
      </c>
      <c r="H230" s="16">
        <v>2.9E-5</v>
      </c>
      <c r="I230" s="313" t="s">
        <v>924</v>
      </c>
      <c r="J230" s="16">
        <v>0</v>
      </c>
      <c r="K230" s="16">
        <v>4.6999999999999997E-5</v>
      </c>
      <c r="L230" s="16">
        <v>4.6999999999999997E-5</v>
      </c>
      <c r="M230" s="313" t="s">
        <v>924</v>
      </c>
      <c r="N230" s="16">
        <v>0</v>
      </c>
      <c r="O230" s="16">
        <v>3.6999999999999998E-5</v>
      </c>
      <c r="P230" s="16">
        <v>3.6999999999999998E-5</v>
      </c>
      <c r="Q230" s="313" t="s">
        <v>924</v>
      </c>
      <c r="R230" s="16">
        <v>0</v>
      </c>
      <c r="S230" s="16">
        <v>3.1999999999999999E-5</v>
      </c>
      <c r="T230" s="16">
        <v>3.1999999999999999E-5</v>
      </c>
    </row>
    <row r="231" spans="1:20" ht="39.950000000000003" customHeight="1" x14ac:dyDescent="0.25">
      <c r="A231" s="17" t="s">
        <v>443</v>
      </c>
      <c r="B231" s="18" t="s">
        <v>816</v>
      </c>
      <c r="C231" s="313" t="s">
        <v>370</v>
      </c>
      <c r="D231" s="313">
        <v>17036</v>
      </c>
      <c r="E231" s="313" t="s">
        <v>926</v>
      </c>
      <c r="F231" s="16">
        <v>0.78</v>
      </c>
      <c r="G231" s="16">
        <v>0.970001</v>
      </c>
      <c r="H231" s="16">
        <v>0.970001</v>
      </c>
      <c r="I231" s="313" t="s">
        <v>924</v>
      </c>
      <c r="J231" s="16">
        <v>0</v>
      </c>
      <c r="K231" s="16">
        <v>5.0000000000000002E-5</v>
      </c>
      <c r="L231" s="16">
        <v>5.0000000000000002E-5</v>
      </c>
      <c r="M231" s="313" t="s">
        <v>924</v>
      </c>
      <c r="N231" s="16">
        <v>0</v>
      </c>
      <c r="O231" s="16">
        <v>4.0000000000000003E-5</v>
      </c>
      <c r="P231" s="16">
        <v>4.0000000000000003E-5</v>
      </c>
      <c r="Q231" s="313" t="s">
        <v>924</v>
      </c>
      <c r="R231" s="16">
        <v>0</v>
      </c>
      <c r="S231" s="16">
        <v>3.4999999999999997E-5</v>
      </c>
      <c r="T231" s="16">
        <v>3.4999999999999997E-5</v>
      </c>
    </row>
    <row r="232" spans="1:20" ht="39.950000000000003" customHeight="1" x14ac:dyDescent="0.25">
      <c r="A232" s="17" t="s">
        <v>466</v>
      </c>
      <c r="B232" s="18" t="s">
        <v>817</v>
      </c>
      <c r="C232" s="313" t="s">
        <v>370</v>
      </c>
      <c r="D232" s="313">
        <v>17036</v>
      </c>
      <c r="E232" s="313" t="s">
        <v>923</v>
      </c>
      <c r="F232" s="16">
        <v>1.08</v>
      </c>
      <c r="G232" s="16">
        <v>1.350001</v>
      </c>
      <c r="H232" s="16">
        <v>1.350001</v>
      </c>
      <c r="I232" s="313" t="s">
        <v>924</v>
      </c>
      <c r="J232" s="16">
        <v>0</v>
      </c>
      <c r="K232" s="16">
        <v>6.0000000000000002E-5</v>
      </c>
      <c r="L232" s="16">
        <v>6.0000000000000002E-5</v>
      </c>
      <c r="M232" s="313" t="s">
        <v>920</v>
      </c>
      <c r="N232" s="16">
        <v>0.56000000000000005</v>
      </c>
      <c r="O232" s="16">
        <v>0.63</v>
      </c>
      <c r="P232" s="16">
        <v>0.63</v>
      </c>
      <c r="Q232" s="313" t="s">
        <v>924</v>
      </c>
      <c r="R232" s="16">
        <v>0</v>
      </c>
      <c r="S232" s="16">
        <v>4.3000000000000002E-5</v>
      </c>
      <c r="T232" s="16">
        <v>4.3000000000000002E-5</v>
      </c>
    </row>
    <row r="233" spans="1:20" ht="39.950000000000003" customHeight="1" x14ac:dyDescent="0.25">
      <c r="A233" s="17" t="s">
        <v>274</v>
      </c>
      <c r="B233" s="18" t="s">
        <v>818</v>
      </c>
      <c r="C233" s="313" t="s">
        <v>370</v>
      </c>
      <c r="D233" s="313">
        <v>17036</v>
      </c>
      <c r="E233" s="313" t="s">
        <v>923</v>
      </c>
      <c r="F233" s="16">
        <v>1.33</v>
      </c>
      <c r="G233" s="16">
        <v>1.6600010000000001</v>
      </c>
      <c r="H233" s="16">
        <v>1.6600010000000001</v>
      </c>
      <c r="I233" s="313" t="s">
        <v>924</v>
      </c>
      <c r="J233" s="16">
        <v>0</v>
      </c>
      <c r="K233" s="16">
        <v>6.2000000000000003E-5</v>
      </c>
      <c r="L233" s="16">
        <v>6.2000000000000003E-5</v>
      </c>
      <c r="M233" s="313" t="s">
        <v>921</v>
      </c>
      <c r="N233" s="16">
        <v>0.89</v>
      </c>
      <c r="O233" s="16">
        <v>1.0000009999999999</v>
      </c>
      <c r="P233" s="16">
        <v>1.0000009999999999</v>
      </c>
      <c r="Q233" s="313" t="s">
        <v>921</v>
      </c>
      <c r="R233" s="16">
        <v>0.24299999999999999</v>
      </c>
      <c r="S233" s="16">
        <v>0.28299999999999997</v>
      </c>
      <c r="T233" s="16">
        <v>0.28299999999999997</v>
      </c>
    </row>
    <row r="234" spans="1:20" ht="39.950000000000003" customHeight="1" x14ac:dyDescent="0.25">
      <c r="A234" s="17" t="s">
        <v>819</v>
      </c>
      <c r="B234" s="18" t="s">
        <v>820</v>
      </c>
      <c r="C234" s="313" t="s">
        <v>370</v>
      </c>
      <c r="D234" s="313">
        <v>17036</v>
      </c>
      <c r="E234" s="313" t="s">
        <v>924</v>
      </c>
      <c r="F234" s="16">
        <v>0</v>
      </c>
      <c r="G234" s="16">
        <v>3.8000000000000002E-5</v>
      </c>
      <c r="H234" s="16">
        <v>3.8000000000000002E-5</v>
      </c>
      <c r="I234" s="313" t="s">
        <v>924</v>
      </c>
      <c r="J234" s="16">
        <v>0</v>
      </c>
      <c r="K234" s="16">
        <v>6.3E-5</v>
      </c>
      <c r="L234" s="16">
        <v>6.3E-5</v>
      </c>
      <c r="M234" s="313" t="s">
        <v>924</v>
      </c>
      <c r="N234" s="16">
        <v>0</v>
      </c>
      <c r="O234" s="16">
        <v>4.8000000000000001E-5</v>
      </c>
      <c r="P234" s="16">
        <v>4.8000000000000001E-5</v>
      </c>
      <c r="Q234" s="313" t="s">
        <v>924</v>
      </c>
      <c r="R234" s="16">
        <v>0</v>
      </c>
      <c r="S234" s="16">
        <v>4.5000000000000003E-5</v>
      </c>
      <c r="T234" s="16">
        <v>4.5000000000000003E-5</v>
      </c>
    </row>
    <row r="235" spans="1:20" ht="39.950000000000003" customHeight="1" x14ac:dyDescent="0.25">
      <c r="A235" s="313" t="s">
        <v>821</v>
      </c>
      <c r="B235" s="18" t="s">
        <v>822</v>
      </c>
      <c r="C235" s="313" t="s">
        <v>370</v>
      </c>
      <c r="D235" s="313">
        <v>17036</v>
      </c>
      <c r="E235" s="313" t="s">
        <v>924</v>
      </c>
      <c r="F235" s="16">
        <v>0</v>
      </c>
      <c r="G235" s="16">
        <v>3.8999999999999999E-5</v>
      </c>
      <c r="H235" s="16">
        <v>3.8999999999999999E-5</v>
      </c>
      <c r="I235" s="313" t="s">
        <v>924</v>
      </c>
      <c r="J235" s="16">
        <v>0</v>
      </c>
      <c r="K235" s="16">
        <v>6.3999999999999997E-5</v>
      </c>
      <c r="L235" s="16">
        <v>6.3999999999999997E-5</v>
      </c>
      <c r="M235" s="313" t="s">
        <v>924</v>
      </c>
      <c r="N235" s="16">
        <v>0</v>
      </c>
      <c r="O235" s="16">
        <v>4.8999999999999998E-5</v>
      </c>
      <c r="P235" s="16">
        <v>4.8999999999999998E-5</v>
      </c>
      <c r="Q235" s="313" t="s">
        <v>924</v>
      </c>
      <c r="R235" s="16">
        <v>0</v>
      </c>
      <c r="S235" s="16">
        <v>4.6E-5</v>
      </c>
      <c r="T235" s="16">
        <v>4.6E-5</v>
      </c>
    </row>
    <row r="236" spans="1:20" ht="39.950000000000003" customHeight="1" x14ac:dyDescent="0.25">
      <c r="A236" s="17" t="s">
        <v>529</v>
      </c>
      <c r="B236" s="18" t="s">
        <v>823</v>
      </c>
      <c r="C236" s="313" t="s">
        <v>370</v>
      </c>
      <c r="D236" s="313">
        <v>17036</v>
      </c>
      <c r="E236" s="313" t="s">
        <v>926</v>
      </c>
      <c r="F236" s="16">
        <v>0.47</v>
      </c>
      <c r="G236" s="16">
        <v>0.59</v>
      </c>
      <c r="H236" s="16">
        <v>0.59</v>
      </c>
      <c r="I236" s="313" t="s">
        <v>924</v>
      </c>
      <c r="J236" s="16">
        <v>0</v>
      </c>
      <c r="K236" s="16">
        <v>7.7999999999999999E-5</v>
      </c>
      <c r="L236" s="16">
        <v>7.7999999999999999E-5</v>
      </c>
      <c r="M236" s="313" t="s">
        <v>924</v>
      </c>
      <c r="N236" s="16">
        <v>0</v>
      </c>
      <c r="O236" s="16">
        <v>5.5000000000000002E-5</v>
      </c>
      <c r="P236" s="16">
        <v>5.5000000000000002E-5</v>
      </c>
      <c r="Q236" s="313" t="s">
        <v>924</v>
      </c>
      <c r="R236" s="16">
        <v>0</v>
      </c>
      <c r="S236" s="16">
        <v>5.5000000000000002E-5</v>
      </c>
      <c r="T236" s="16">
        <v>5.5000000000000002E-5</v>
      </c>
    </row>
    <row r="237" spans="1:20" ht="39.950000000000003" customHeight="1" x14ac:dyDescent="0.25">
      <c r="A237" s="313" t="s">
        <v>289</v>
      </c>
      <c r="B237" s="18" t="s">
        <v>824</v>
      </c>
      <c r="C237" s="313" t="s">
        <v>370</v>
      </c>
      <c r="D237" s="313">
        <v>17036</v>
      </c>
      <c r="E237" s="313" t="s">
        <v>925</v>
      </c>
      <c r="F237" s="16">
        <v>17.3</v>
      </c>
      <c r="G237" s="16">
        <v>21.63</v>
      </c>
      <c r="H237" s="16">
        <v>17.3</v>
      </c>
      <c r="I237" s="313" t="s">
        <v>925</v>
      </c>
      <c r="J237" s="16">
        <v>6.97</v>
      </c>
      <c r="K237" s="16">
        <v>8.7200000000000006</v>
      </c>
      <c r="L237" s="16">
        <v>6.97</v>
      </c>
      <c r="M237" s="313" t="s">
        <v>352</v>
      </c>
      <c r="N237" s="16">
        <v>5.44</v>
      </c>
      <c r="O237" s="16">
        <v>6.12</v>
      </c>
      <c r="P237" s="16">
        <v>5.44</v>
      </c>
      <c r="Q237" s="313" t="s">
        <v>927</v>
      </c>
      <c r="R237" s="16">
        <v>0.56399999999999995</v>
      </c>
      <c r="S237" s="16">
        <v>0.65600000000000003</v>
      </c>
      <c r="T237" s="16">
        <v>0.56399999999999995</v>
      </c>
    </row>
    <row r="238" spans="1:20" ht="39.950000000000003" customHeight="1" x14ac:dyDescent="0.25">
      <c r="A238" s="17" t="s">
        <v>291</v>
      </c>
      <c r="B238" s="18" t="s">
        <v>825</v>
      </c>
      <c r="C238" s="313" t="s">
        <v>370</v>
      </c>
      <c r="D238" s="313">
        <v>17036</v>
      </c>
      <c r="E238" s="313" t="s">
        <v>923</v>
      </c>
      <c r="F238" s="16">
        <v>0.97</v>
      </c>
      <c r="G238" s="16">
        <v>1.2100010000000001</v>
      </c>
      <c r="H238" s="16">
        <v>1.2100010000000001</v>
      </c>
      <c r="I238" s="313" t="s">
        <v>924</v>
      </c>
      <c r="J238" s="16">
        <v>0</v>
      </c>
      <c r="K238" s="16">
        <v>8.6000000000000003E-5</v>
      </c>
      <c r="L238" s="16">
        <v>8.6000000000000003E-5</v>
      </c>
      <c r="M238" s="313" t="s">
        <v>920</v>
      </c>
      <c r="N238" s="16">
        <v>0.67</v>
      </c>
      <c r="O238" s="16">
        <v>0.75000100000000003</v>
      </c>
      <c r="P238" s="16">
        <v>0.75000100000000003</v>
      </c>
      <c r="Q238" s="313" t="s">
        <v>924</v>
      </c>
      <c r="R238" s="16">
        <v>0</v>
      </c>
      <c r="S238" s="16">
        <v>6.2000000000000003E-5</v>
      </c>
      <c r="T238" s="16">
        <v>6.2000000000000003E-5</v>
      </c>
    </row>
    <row r="239" spans="1:20" ht="39.950000000000003" customHeight="1" x14ac:dyDescent="0.25">
      <c r="A239" s="17" t="s">
        <v>826</v>
      </c>
      <c r="B239" s="18" t="s">
        <v>827</v>
      </c>
      <c r="C239" s="313" t="s">
        <v>370</v>
      </c>
      <c r="D239" s="313">
        <v>17036</v>
      </c>
      <c r="E239" s="313" t="s">
        <v>924</v>
      </c>
      <c r="F239" s="16">
        <v>0</v>
      </c>
      <c r="G239" s="16">
        <v>4.8000000000000001E-5</v>
      </c>
      <c r="H239" s="16">
        <v>4.8000000000000001E-5</v>
      </c>
      <c r="I239" s="313" t="s">
        <v>924</v>
      </c>
      <c r="J239" s="16">
        <v>0</v>
      </c>
      <c r="K239" s="16">
        <v>8.7999999999999998E-5</v>
      </c>
      <c r="L239" s="16">
        <v>8.7999999999999998E-5</v>
      </c>
      <c r="M239" s="313" t="s">
        <v>924</v>
      </c>
      <c r="N239" s="16">
        <v>0</v>
      </c>
      <c r="O239" s="16">
        <v>5.8999999999999998E-5</v>
      </c>
      <c r="P239" s="16">
        <v>5.8999999999999998E-5</v>
      </c>
      <c r="Q239" s="313" t="s">
        <v>924</v>
      </c>
      <c r="R239" s="16">
        <v>0</v>
      </c>
      <c r="S239" s="16">
        <v>6.3999999999999997E-5</v>
      </c>
      <c r="T239" s="16">
        <v>6.3999999999999997E-5</v>
      </c>
    </row>
    <row r="240" spans="1:20" ht="39.950000000000003" customHeight="1" x14ac:dyDescent="0.25">
      <c r="A240" s="17" t="s">
        <v>390</v>
      </c>
      <c r="B240" s="18" t="s">
        <v>828</v>
      </c>
      <c r="C240" s="313" t="s">
        <v>370</v>
      </c>
      <c r="D240" s="313">
        <v>17036</v>
      </c>
      <c r="E240" s="313" t="s">
        <v>923</v>
      </c>
      <c r="F240" s="16">
        <v>1.19</v>
      </c>
      <c r="G240" s="16">
        <v>1.490002</v>
      </c>
      <c r="H240" s="16">
        <v>1.490002</v>
      </c>
      <c r="I240" s="313" t="s">
        <v>921</v>
      </c>
      <c r="J240" s="16">
        <v>1.24</v>
      </c>
      <c r="K240" s="16">
        <v>1.55</v>
      </c>
      <c r="L240" s="16">
        <v>1.55</v>
      </c>
      <c r="M240" s="313" t="s">
        <v>920</v>
      </c>
      <c r="N240" s="16">
        <v>0.88</v>
      </c>
      <c r="O240" s="16">
        <v>0.99000100000000002</v>
      </c>
      <c r="P240" s="16">
        <v>0.99000100000000002</v>
      </c>
      <c r="Q240" s="313" t="s">
        <v>920</v>
      </c>
      <c r="R240" s="16">
        <v>0.17299999999999999</v>
      </c>
      <c r="S240" s="16">
        <v>0.20100000000000001</v>
      </c>
      <c r="T240" s="16">
        <v>0.20100000000000001</v>
      </c>
    </row>
    <row r="241" spans="1:20" ht="39.950000000000003" customHeight="1" x14ac:dyDescent="0.25">
      <c r="A241" s="17" t="s">
        <v>829</v>
      </c>
      <c r="B241" s="18" t="s">
        <v>830</v>
      </c>
      <c r="C241" s="313" t="s">
        <v>370</v>
      </c>
      <c r="D241" s="313">
        <v>17036</v>
      </c>
      <c r="E241" s="313" t="s">
        <v>924</v>
      </c>
      <c r="F241" s="16">
        <v>0</v>
      </c>
      <c r="G241" s="16">
        <v>4.8999999999999998E-5</v>
      </c>
      <c r="H241" s="16">
        <v>4.8999999999999998E-5</v>
      </c>
      <c r="I241" s="313" t="s">
        <v>924</v>
      </c>
      <c r="J241" s="16">
        <v>0</v>
      </c>
      <c r="K241" s="16">
        <v>1E-4</v>
      </c>
      <c r="L241" s="16">
        <v>1E-4</v>
      </c>
      <c r="M241" s="313" t="s">
        <v>924</v>
      </c>
      <c r="N241" s="16">
        <v>0</v>
      </c>
      <c r="O241" s="16">
        <v>6.3E-5</v>
      </c>
      <c r="P241" s="16">
        <v>6.3E-5</v>
      </c>
      <c r="Q241" s="313" t="s">
        <v>924</v>
      </c>
      <c r="R241" s="16">
        <v>0</v>
      </c>
      <c r="S241" s="16">
        <v>6.7000000000000002E-5</v>
      </c>
      <c r="T241" s="16">
        <v>6.7000000000000002E-5</v>
      </c>
    </row>
    <row r="242" spans="1:20" ht="39.950000000000003" customHeight="1" x14ac:dyDescent="0.25">
      <c r="A242" s="17" t="s">
        <v>934</v>
      </c>
      <c r="B242" s="18" t="s">
        <v>935</v>
      </c>
      <c r="C242" s="313" t="s">
        <v>370</v>
      </c>
      <c r="D242" s="313">
        <v>17036</v>
      </c>
      <c r="E242" s="313" t="s">
        <v>924</v>
      </c>
      <c r="F242" s="16">
        <v>0</v>
      </c>
      <c r="G242" s="16">
        <v>5.8999999999999998E-5</v>
      </c>
      <c r="H242" s="16">
        <v>5.8999999999999998E-5</v>
      </c>
      <c r="I242" s="313" t="s">
        <v>924</v>
      </c>
      <c r="J242" s="16">
        <v>0</v>
      </c>
      <c r="K242" s="16">
        <v>5.8999999999999998E-5</v>
      </c>
      <c r="L242" s="16">
        <v>5.8999999999999998E-5</v>
      </c>
      <c r="M242" s="313" t="s">
        <v>924</v>
      </c>
      <c r="N242" s="16">
        <v>0</v>
      </c>
      <c r="O242" s="16">
        <v>5.8999999999999998E-5</v>
      </c>
      <c r="P242" s="16">
        <v>5.8999999999999998E-5</v>
      </c>
      <c r="Q242" s="313" t="s">
        <v>924</v>
      </c>
      <c r="R242" s="16">
        <v>0</v>
      </c>
      <c r="S242" s="16">
        <v>5.8999999999999998E-5</v>
      </c>
      <c r="T242" s="16">
        <v>5.8999999999999998E-5</v>
      </c>
    </row>
    <row r="243" spans="1:20" ht="39.950000000000003" customHeight="1" x14ac:dyDescent="0.25">
      <c r="A243" s="17" t="s">
        <v>471</v>
      </c>
      <c r="B243" s="18" t="s">
        <v>831</v>
      </c>
      <c r="C243" s="313" t="s">
        <v>370</v>
      </c>
      <c r="D243" s="313">
        <v>17036</v>
      </c>
      <c r="E243" s="313" t="s">
        <v>924</v>
      </c>
      <c r="F243" s="16">
        <v>0</v>
      </c>
      <c r="G243" s="16">
        <v>5.8999999999999998E-5</v>
      </c>
      <c r="H243" s="16">
        <v>5.8999999999999998E-5</v>
      </c>
      <c r="I243" s="313" t="s">
        <v>924</v>
      </c>
      <c r="J243" s="16">
        <v>0</v>
      </c>
      <c r="K243" s="16">
        <v>1.1900000000000001E-4</v>
      </c>
      <c r="L243" s="16">
        <v>1.1900000000000001E-4</v>
      </c>
      <c r="M243" s="313" t="s">
        <v>924</v>
      </c>
      <c r="N243" s="16">
        <v>0</v>
      </c>
      <c r="O243" s="16">
        <v>7.7999999999999999E-5</v>
      </c>
      <c r="P243" s="16">
        <v>7.7999999999999999E-5</v>
      </c>
      <c r="Q243" s="313" t="s">
        <v>924</v>
      </c>
      <c r="R243" s="16">
        <v>0</v>
      </c>
      <c r="S243" s="16">
        <v>8.3999999999999995E-5</v>
      </c>
      <c r="T243" s="16">
        <v>8.3999999999999995E-5</v>
      </c>
    </row>
    <row r="244" spans="1:20" ht="39.950000000000003" customHeight="1" x14ac:dyDescent="0.25">
      <c r="A244" s="17" t="s">
        <v>832</v>
      </c>
      <c r="B244" s="18" t="s">
        <v>833</v>
      </c>
      <c r="C244" s="313" t="s">
        <v>370</v>
      </c>
      <c r="D244" s="313">
        <v>17036</v>
      </c>
      <c r="E244" s="313" t="s">
        <v>924</v>
      </c>
      <c r="F244" s="16">
        <v>0</v>
      </c>
      <c r="G244" s="16">
        <v>6.6000000000000005E-5</v>
      </c>
      <c r="H244" s="16">
        <v>6.6000000000000005E-5</v>
      </c>
      <c r="I244" s="313" t="s">
        <v>924</v>
      </c>
      <c r="J244" s="16">
        <v>0</v>
      </c>
      <c r="K244" s="16">
        <v>1.2899999999999999E-4</v>
      </c>
      <c r="L244" s="16">
        <v>1.2899999999999999E-4</v>
      </c>
      <c r="M244" s="313" t="s">
        <v>924</v>
      </c>
      <c r="N244" s="16">
        <v>0</v>
      </c>
      <c r="O244" s="16">
        <v>8.3999999999999995E-5</v>
      </c>
      <c r="P244" s="16">
        <v>8.3999999999999995E-5</v>
      </c>
      <c r="Q244" s="313" t="s">
        <v>924</v>
      </c>
      <c r="R244" s="16">
        <v>0</v>
      </c>
      <c r="S244" s="16">
        <v>9.2999999999999997E-5</v>
      </c>
      <c r="T244" s="16">
        <v>9.2999999999999997E-5</v>
      </c>
    </row>
    <row r="245" spans="1:20" ht="39.950000000000003" customHeight="1" x14ac:dyDescent="0.25">
      <c r="A245" s="17" t="s">
        <v>447</v>
      </c>
      <c r="B245" s="18" t="s">
        <v>834</v>
      </c>
      <c r="C245" s="313" t="s">
        <v>370</v>
      </c>
      <c r="D245" s="313">
        <v>17036</v>
      </c>
      <c r="E245" s="313" t="s">
        <v>923</v>
      </c>
      <c r="F245" s="16">
        <v>1.57</v>
      </c>
      <c r="G245" s="16">
        <v>1.96</v>
      </c>
      <c r="H245" s="16">
        <v>1.96</v>
      </c>
      <c r="I245" s="313" t="s">
        <v>924</v>
      </c>
      <c r="J245" s="16">
        <v>0</v>
      </c>
      <c r="K245" s="16">
        <v>1.37E-4</v>
      </c>
      <c r="L245" s="16">
        <v>1.37E-4</v>
      </c>
      <c r="M245" s="313" t="s">
        <v>921</v>
      </c>
      <c r="N245" s="16">
        <v>1.32</v>
      </c>
      <c r="O245" s="16">
        <v>1.48</v>
      </c>
      <c r="P245" s="16">
        <v>1.48</v>
      </c>
      <c r="Q245" s="313" t="s">
        <v>922</v>
      </c>
      <c r="R245" s="16">
        <v>0.40100000000000002</v>
      </c>
      <c r="S245" s="16">
        <v>0.46700000000000003</v>
      </c>
      <c r="T245" s="16">
        <v>0.46700000000000003</v>
      </c>
    </row>
    <row r="246" spans="1:20" ht="39.950000000000003" customHeight="1" x14ac:dyDescent="0.25">
      <c r="A246" s="17" t="s">
        <v>551</v>
      </c>
      <c r="B246" s="18" t="s">
        <v>835</v>
      </c>
      <c r="C246" s="313" t="s">
        <v>370</v>
      </c>
      <c r="D246" s="313">
        <v>17036</v>
      </c>
      <c r="E246" s="313" t="s">
        <v>923</v>
      </c>
      <c r="F246" s="16">
        <v>1.3</v>
      </c>
      <c r="G246" s="16">
        <v>1.6200019999999999</v>
      </c>
      <c r="H246" s="16">
        <v>1.6200019999999999</v>
      </c>
      <c r="I246" s="313" t="s">
        <v>921</v>
      </c>
      <c r="J246" s="16">
        <v>0</v>
      </c>
      <c r="K246" s="16">
        <v>1.4930000000000001</v>
      </c>
      <c r="L246" s="16">
        <v>1.4930000000000001</v>
      </c>
      <c r="M246" s="313" t="s">
        <v>920</v>
      </c>
      <c r="N246" s="16">
        <v>0.68</v>
      </c>
      <c r="O246" s="16">
        <v>0.77000199999999996</v>
      </c>
      <c r="P246" s="16">
        <v>0.77000199999999996</v>
      </c>
      <c r="Q246" s="313" t="s">
        <v>924</v>
      </c>
      <c r="R246" s="16">
        <v>0</v>
      </c>
      <c r="S246" s="16">
        <v>1.12E-4</v>
      </c>
      <c r="T246" s="16">
        <v>1.12E-4</v>
      </c>
    </row>
    <row r="247" spans="1:20" ht="39.950000000000003" customHeight="1" x14ac:dyDescent="0.25">
      <c r="A247" s="313" t="s">
        <v>393</v>
      </c>
      <c r="B247" s="18" t="s">
        <v>836</v>
      </c>
      <c r="C247" s="313" t="s">
        <v>370</v>
      </c>
      <c r="D247" s="313">
        <v>17036</v>
      </c>
      <c r="E247" s="313" t="s">
        <v>926</v>
      </c>
      <c r="F247" s="16">
        <v>0.89</v>
      </c>
      <c r="G247" s="16">
        <v>1.1100030000000001</v>
      </c>
      <c r="H247" s="16">
        <v>1.1100030000000001</v>
      </c>
      <c r="I247" s="313" t="s">
        <v>924</v>
      </c>
      <c r="J247" s="16">
        <v>0</v>
      </c>
      <c r="K247" s="16">
        <v>1.5799999999999999E-4</v>
      </c>
      <c r="L247" s="16">
        <v>1.5799999999999999E-4</v>
      </c>
      <c r="M247" s="313" t="s">
        <v>920</v>
      </c>
      <c r="N247" s="16">
        <v>0.59</v>
      </c>
      <c r="O247" s="16">
        <v>0.66000300000000001</v>
      </c>
      <c r="P247" s="16">
        <v>0.66000300000000001</v>
      </c>
      <c r="Q247" s="313" t="s">
        <v>920</v>
      </c>
      <c r="R247" s="16">
        <v>0.182</v>
      </c>
      <c r="S247" s="16">
        <v>0.21100099999999999</v>
      </c>
      <c r="T247" s="16">
        <v>0.21100099999999999</v>
      </c>
    </row>
    <row r="248" spans="1:20" ht="39.950000000000003" customHeight="1" x14ac:dyDescent="0.25">
      <c r="A248" s="17" t="s">
        <v>238</v>
      </c>
      <c r="B248" s="18" t="s">
        <v>837</v>
      </c>
      <c r="C248" s="313" t="s">
        <v>370</v>
      </c>
      <c r="D248" s="313">
        <v>17036</v>
      </c>
      <c r="E248" s="313" t="s">
        <v>921</v>
      </c>
      <c r="F248" s="16">
        <v>4</v>
      </c>
      <c r="G248" s="16">
        <v>5</v>
      </c>
      <c r="H248" s="16">
        <v>5</v>
      </c>
      <c r="I248" s="313" t="s">
        <v>921</v>
      </c>
      <c r="J248" s="16">
        <v>2.27</v>
      </c>
      <c r="K248" s="16">
        <v>2.84</v>
      </c>
      <c r="L248" s="16">
        <v>2.84</v>
      </c>
      <c r="M248" s="313" t="s">
        <v>921</v>
      </c>
      <c r="N248" s="16">
        <v>1.08</v>
      </c>
      <c r="O248" s="16">
        <v>1.21</v>
      </c>
      <c r="P248" s="16">
        <v>1.21</v>
      </c>
      <c r="Q248" s="313" t="s">
        <v>921</v>
      </c>
      <c r="R248" s="16">
        <v>0.29099999999999998</v>
      </c>
      <c r="S248" s="16">
        <v>0.33900000000000002</v>
      </c>
      <c r="T248" s="16">
        <v>0.33900000000000002</v>
      </c>
    </row>
    <row r="249" spans="1:20" ht="39.950000000000003" customHeight="1" x14ac:dyDescent="0.25">
      <c r="A249" s="17" t="s">
        <v>237</v>
      </c>
      <c r="B249" s="18" t="s">
        <v>838</v>
      </c>
      <c r="C249" s="313" t="s">
        <v>370</v>
      </c>
      <c r="D249" s="313">
        <v>17036</v>
      </c>
      <c r="E249" s="313" t="s">
        <v>924</v>
      </c>
      <c r="F249" s="16">
        <v>0</v>
      </c>
      <c r="G249" s="16">
        <v>8.0000000000000007E-5</v>
      </c>
      <c r="H249" s="16">
        <v>8.0000000000000007E-5</v>
      </c>
      <c r="I249" s="313" t="s">
        <v>924</v>
      </c>
      <c r="J249" s="16">
        <v>0</v>
      </c>
      <c r="K249" s="16">
        <v>1.66E-4</v>
      </c>
      <c r="L249" s="16">
        <v>1.66E-4</v>
      </c>
      <c r="M249" s="313" t="s">
        <v>921</v>
      </c>
      <c r="N249" s="16">
        <v>0.98</v>
      </c>
      <c r="O249" s="16">
        <v>1.1000000000000001</v>
      </c>
      <c r="P249" s="16">
        <v>1.1000000000000001</v>
      </c>
      <c r="Q249" s="313" t="s">
        <v>922</v>
      </c>
      <c r="R249" s="16">
        <v>0.28000000000000003</v>
      </c>
      <c r="S249" s="16">
        <v>0.32600000000000001</v>
      </c>
      <c r="T249" s="16">
        <v>0.32600000000000001</v>
      </c>
    </row>
    <row r="250" spans="1:20" ht="39.950000000000003" customHeight="1" x14ac:dyDescent="0.25">
      <c r="A250" s="17" t="s">
        <v>530</v>
      </c>
      <c r="B250" s="18" t="s">
        <v>839</v>
      </c>
      <c r="C250" s="313" t="s">
        <v>370</v>
      </c>
      <c r="D250" s="313">
        <v>17036</v>
      </c>
      <c r="E250" s="313" t="s">
        <v>924</v>
      </c>
      <c r="F250" s="16">
        <v>0</v>
      </c>
      <c r="G250" s="16">
        <v>8.1000000000000004E-5</v>
      </c>
      <c r="H250" s="16">
        <v>8.1000000000000004E-5</v>
      </c>
      <c r="I250" s="313" t="s">
        <v>924</v>
      </c>
      <c r="J250" s="16">
        <v>0</v>
      </c>
      <c r="K250" s="16">
        <v>1.6799999999999999E-4</v>
      </c>
      <c r="L250" s="16">
        <v>1.6799999999999999E-4</v>
      </c>
      <c r="M250" s="313" t="s">
        <v>924</v>
      </c>
      <c r="N250" s="16">
        <v>0</v>
      </c>
      <c r="O250" s="16">
        <v>1.07E-4</v>
      </c>
      <c r="P250" s="16">
        <v>1.07E-4</v>
      </c>
      <c r="Q250" s="313" t="s">
        <v>924</v>
      </c>
      <c r="R250" s="16">
        <v>0</v>
      </c>
      <c r="S250" s="16">
        <v>1.22E-4</v>
      </c>
      <c r="T250" s="16">
        <v>1.22E-4</v>
      </c>
    </row>
    <row r="251" spans="1:20" ht="39.950000000000003" customHeight="1" x14ac:dyDescent="0.25">
      <c r="A251" s="313" t="s">
        <v>257</v>
      </c>
      <c r="B251" s="18" t="s">
        <v>840</v>
      </c>
      <c r="C251" s="313" t="s">
        <v>370</v>
      </c>
      <c r="D251" s="313">
        <v>17036</v>
      </c>
      <c r="E251" s="313" t="s">
        <v>921</v>
      </c>
      <c r="F251" s="16">
        <v>4.13</v>
      </c>
      <c r="G251" s="16">
        <v>5.16</v>
      </c>
      <c r="H251" s="16">
        <v>5.16</v>
      </c>
      <c r="I251" s="313" t="s">
        <v>921</v>
      </c>
      <c r="J251" s="16">
        <v>2.06</v>
      </c>
      <c r="K251" s="16">
        <v>2.57</v>
      </c>
      <c r="L251" s="16">
        <v>2.57</v>
      </c>
      <c r="M251" s="313" t="s">
        <v>922</v>
      </c>
      <c r="N251" s="16">
        <v>1.85</v>
      </c>
      <c r="O251" s="16">
        <v>2.08</v>
      </c>
      <c r="P251" s="16">
        <v>2.08</v>
      </c>
      <c r="Q251" s="313" t="s">
        <v>922</v>
      </c>
      <c r="R251" s="16">
        <v>0.36499999999999999</v>
      </c>
      <c r="S251" s="16">
        <v>0.42399999999999999</v>
      </c>
      <c r="T251" s="16">
        <v>0.42399999999999999</v>
      </c>
    </row>
    <row r="252" spans="1:20" ht="39.950000000000003" customHeight="1" x14ac:dyDescent="0.25">
      <c r="A252" s="17" t="s">
        <v>450</v>
      </c>
      <c r="B252" s="18" t="s">
        <v>841</v>
      </c>
      <c r="C252" s="313" t="s">
        <v>370</v>
      </c>
      <c r="D252" s="313">
        <v>17036</v>
      </c>
      <c r="E252" s="313" t="s">
        <v>926</v>
      </c>
      <c r="F252" s="16">
        <v>0.8</v>
      </c>
      <c r="G252" s="16">
        <v>1</v>
      </c>
      <c r="H252" s="16">
        <v>1</v>
      </c>
      <c r="I252" s="313" t="s">
        <v>924</v>
      </c>
      <c r="J252" s="16">
        <v>0</v>
      </c>
      <c r="K252" s="16">
        <v>1.74E-4</v>
      </c>
      <c r="L252" s="16">
        <v>1.74E-4</v>
      </c>
      <c r="M252" s="313" t="s">
        <v>920</v>
      </c>
      <c r="N252" s="16">
        <v>0.57999999999999996</v>
      </c>
      <c r="O252" s="16">
        <v>0.66</v>
      </c>
      <c r="P252" s="16">
        <v>0.66</v>
      </c>
      <c r="Q252" s="313" t="s">
        <v>920</v>
      </c>
      <c r="R252" s="16">
        <v>0.19</v>
      </c>
      <c r="S252" s="16">
        <v>0.221</v>
      </c>
      <c r="T252" s="16">
        <v>0.221</v>
      </c>
    </row>
    <row r="253" spans="1:20" ht="39.950000000000003" customHeight="1" x14ac:dyDescent="0.25">
      <c r="A253" s="17" t="s">
        <v>481</v>
      </c>
      <c r="B253" s="18" t="s">
        <v>842</v>
      </c>
      <c r="C253" s="313" t="s">
        <v>370</v>
      </c>
      <c r="D253" s="313">
        <v>17036</v>
      </c>
      <c r="E253" s="313" t="s">
        <v>926</v>
      </c>
      <c r="F253" s="16">
        <v>0.92</v>
      </c>
      <c r="G253" s="16">
        <v>1.1599999999999999</v>
      </c>
      <c r="H253" s="16">
        <v>1.1599999999999999</v>
      </c>
      <c r="I253" s="313" t="s">
        <v>924</v>
      </c>
      <c r="J253" s="16">
        <v>0</v>
      </c>
      <c r="K253" s="16">
        <v>1.84E-4</v>
      </c>
      <c r="L253" s="16">
        <v>1.84E-4</v>
      </c>
      <c r="M253" s="313" t="s">
        <v>924</v>
      </c>
      <c r="N253" s="16">
        <v>0</v>
      </c>
      <c r="O253" s="16">
        <v>1.17E-4</v>
      </c>
      <c r="P253" s="16">
        <v>1.17E-4</v>
      </c>
      <c r="Q253" s="313" t="s">
        <v>924</v>
      </c>
      <c r="R253" s="16">
        <v>0</v>
      </c>
      <c r="S253" s="16">
        <v>1.35E-4</v>
      </c>
      <c r="T253" s="16">
        <v>1.35E-4</v>
      </c>
    </row>
    <row r="254" spans="1:20" ht="39.950000000000003" customHeight="1" x14ac:dyDescent="0.25">
      <c r="A254" s="313" t="s">
        <v>482</v>
      </c>
      <c r="B254" s="18" t="s">
        <v>843</v>
      </c>
      <c r="C254" s="313" t="s">
        <v>370</v>
      </c>
      <c r="D254" s="313">
        <v>17036</v>
      </c>
      <c r="E254" s="313" t="s">
        <v>924</v>
      </c>
      <c r="F254" s="16">
        <v>0</v>
      </c>
      <c r="G254" s="16">
        <v>9.0000000000000006E-5</v>
      </c>
      <c r="H254" s="16">
        <v>9.0000000000000006E-5</v>
      </c>
      <c r="I254" s="313" t="s">
        <v>924</v>
      </c>
      <c r="J254" s="16">
        <v>0</v>
      </c>
      <c r="K254" s="16">
        <v>1.8799999999999999E-4</v>
      </c>
      <c r="L254" s="16">
        <v>1.8799999999999999E-4</v>
      </c>
      <c r="M254" s="313" t="s">
        <v>924</v>
      </c>
      <c r="N254" s="16">
        <v>0</v>
      </c>
      <c r="O254" s="16">
        <v>1.2E-4</v>
      </c>
      <c r="P254" s="16">
        <v>1.2E-4</v>
      </c>
      <c r="Q254" s="313" t="s">
        <v>924</v>
      </c>
      <c r="R254" s="16">
        <v>0</v>
      </c>
      <c r="S254" s="16">
        <v>1.3799999999999999E-4</v>
      </c>
      <c r="T254" s="16">
        <v>1.3799999999999999E-4</v>
      </c>
    </row>
    <row r="255" spans="1:20" ht="39.950000000000003" customHeight="1" x14ac:dyDescent="0.25">
      <c r="A255" s="17" t="s">
        <v>298</v>
      </c>
      <c r="B255" s="18" t="s">
        <v>844</v>
      </c>
      <c r="C255" s="313" t="s">
        <v>370</v>
      </c>
      <c r="D255" s="313">
        <v>17036</v>
      </c>
      <c r="E255" s="313" t="s">
        <v>921</v>
      </c>
      <c r="F255" s="16">
        <v>3.43</v>
      </c>
      <c r="G255" s="16">
        <v>4.29</v>
      </c>
      <c r="H255" s="16">
        <v>4.29</v>
      </c>
      <c r="I255" s="313" t="s">
        <v>922</v>
      </c>
      <c r="J255" s="16">
        <v>2.88</v>
      </c>
      <c r="K255" s="16">
        <v>3.61</v>
      </c>
      <c r="L255" s="16">
        <v>3.61</v>
      </c>
      <c r="M255" s="313" t="s">
        <v>922</v>
      </c>
      <c r="N255" s="16">
        <v>1.69</v>
      </c>
      <c r="O255" s="16">
        <v>1.9</v>
      </c>
      <c r="P255" s="16">
        <v>1.9</v>
      </c>
      <c r="Q255" s="313" t="s">
        <v>922</v>
      </c>
      <c r="R255" s="16">
        <v>0.255</v>
      </c>
      <c r="S255" s="16">
        <v>0.29699999999999999</v>
      </c>
      <c r="T255" s="16">
        <v>0.29699999999999999</v>
      </c>
    </row>
    <row r="256" spans="1:20" ht="39.950000000000003" customHeight="1" x14ac:dyDescent="0.25">
      <c r="A256" s="313" t="s">
        <v>531</v>
      </c>
      <c r="B256" s="18" t="s">
        <v>845</v>
      </c>
      <c r="C256" s="313" t="s">
        <v>370</v>
      </c>
      <c r="D256" s="313">
        <v>17036</v>
      </c>
      <c r="E256" s="313" t="s">
        <v>924</v>
      </c>
      <c r="F256" s="16">
        <v>0</v>
      </c>
      <c r="G256" s="16">
        <v>9.3999999999999994E-5</v>
      </c>
      <c r="H256" s="16">
        <v>9.3999999999999994E-5</v>
      </c>
      <c r="I256" s="313" t="s">
        <v>924</v>
      </c>
      <c r="J256" s="16">
        <v>0</v>
      </c>
      <c r="K256" s="16">
        <v>2.0000000000000001E-4</v>
      </c>
      <c r="L256" s="16">
        <v>2.0000000000000001E-4</v>
      </c>
      <c r="M256" s="313" t="s">
        <v>924</v>
      </c>
      <c r="N256" s="16">
        <v>0</v>
      </c>
      <c r="O256" s="16">
        <v>1.2999999999999999E-4</v>
      </c>
      <c r="P256" s="16">
        <v>1.2999999999999999E-4</v>
      </c>
      <c r="Q256" s="313" t="s">
        <v>924</v>
      </c>
      <c r="R256" s="16">
        <v>0</v>
      </c>
      <c r="S256" s="16">
        <v>1.4899999999999999E-4</v>
      </c>
      <c r="T256" s="16">
        <v>1.4899999999999999E-4</v>
      </c>
    </row>
    <row r="257" spans="1:20" ht="39.950000000000003" customHeight="1" x14ac:dyDescent="0.25">
      <c r="A257" s="17" t="s">
        <v>452</v>
      </c>
      <c r="B257" s="18" t="s">
        <v>846</v>
      </c>
      <c r="C257" s="313" t="s">
        <v>370</v>
      </c>
      <c r="D257" s="313">
        <v>17036</v>
      </c>
      <c r="E257" s="313" t="s">
        <v>924</v>
      </c>
      <c r="F257" s="16">
        <v>0</v>
      </c>
      <c r="G257" s="16">
        <v>9.7999999999999997E-5</v>
      </c>
      <c r="H257" s="16">
        <v>9.7999999999999997E-5</v>
      </c>
      <c r="I257" s="313" t="s">
        <v>924</v>
      </c>
      <c r="J257" s="16">
        <v>0</v>
      </c>
      <c r="K257" s="16">
        <v>2.04E-4</v>
      </c>
      <c r="L257" s="16">
        <v>2.04E-4</v>
      </c>
      <c r="M257" s="313" t="s">
        <v>924</v>
      </c>
      <c r="N257" s="16">
        <v>0</v>
      </c>
      <c r="O257" s="16">
        <v>1.35E-4</v>
      </c>
      <c r="P257" s="16">
        <v>1.35E-4</v>
      </c>
      <c r="Q257" s="313" t="s">
        <v>924</v>
      </c>
      <c r="R257" s="16">
        <v>0</v>
      </c>
      <c r="S257" s="16">
        <v>1.54E-4</v>
      </c>
      <c r="T257" s="16">
        <v>1.54E-4</v>
      </c>
    </row>
    <row r="258" spans="1:20" ht="39.950000000000003" customHeight="1" x14ac:dyDescent="0.25">
      <c r="A258" s="17" t="s">
        <v>453</v>
      </c>
      <c r="B258" s="18" t="s">
        <v>847</v>
      </c>
      <c r="C258" s="313" t="s">
        <v>370</v>
      </c>
      <c r="D258" s="313">
        <v>17036</v>
      </c>
      <c r="E258" s="313" t="s">
        <v>924</v>
      </c>
      <c r="F258" s="16">
        <v>0</v>
      </c>
      <c r="G258" s="16">
        <v>9.8999999999999994E-5</v>
      </c>
      <c r="H258" s="16">
        <v>9.8999999999999994E-5</v>
      </c>
      <c r="I258" s="313" t="s">
        <v>924</v>
      </c>
      <c r="J258" s="16">
        <v>0</v>
      </c>
      <c r="K258" s="16">
        <v>2.05E-4</v>
      </c>
      <c r="L258" s="16">
        <v>2.05E-4</v>
      </c>
      <c r="M258" s="313" t="s">
        <v>924</v>
      </c>
      <c r="N258" s="16">
        <v>0</v>
      </c>
      <c r="O258" s="16">
        <v>1.36E-4</v>
      </c>
      <c r="P258" s="16">
        <v>1.36E-4</v>
      </c>
      <c r="Q258" s="313" t="s">
        <v>924</v>
      </c>
      <c r="R258" s="16">
        <v>0</v>
      </c>
      <c r="S258" s="16">
        <v>1.55E-4</v>
      </c>
      <c r="T258" s="16">
        <v>1.55E-4</v>
      </c>
    </row>
    <row r="259" spans="1:20" ht="39.950000000000003" customHeight="1" x14ac:dyDescent="0.25">
      <c r="A259" s="17" t="s">
        <v>264</v>
      </c>
      <c r="B259" s="18" t="s">
        <v>649</v>
      </c>
      <c r="C259" s="313" t="s">
        <v>370</v>
      </c>
      <c r="D259" s="313">
        <v>17036</v>
      </c>
      <c r="E259" s="313" t="s">
        <v>923</v>
      </c>
      <c r="F259" s="16">
        <v>1.19</v>
      </c>
      <c r="G259" s="16">
        <v>1.49</v>
      </c>
      <c r="H259" s="16">
        <v>1.49</v>
      </c>
      <c r="I259" s="313" t="s">
        <v>921</v>
      </c>
      <c r="J259" s="16">
        <v>1.55</v>
      </c>
      <c r="K259" s="16">
        <v>1.93</v>
      </c>
      <c r="L259" s="16">
        <v>1.93</v>
      </c>
      <c r="M259" s="313" t="s">
        <v>921</v>
      </c>
      <c r="N259" s="16">
        <v>0.91</v>
      </c>
      <c r="O259" s="16">
        <v>1.03</v>
      </c>
      <c r="P259" s="16">
        <v>1.03</v>
      </c>
      <c r="Q259" s="313" t="s">
        <v>922</v>
      </c>
      <c r="R259" s="16">
        <v>0.312</v>
      </c>
      <c r="S259" s="16">
        <v>0.36299999999999999</v>
      </c>
      <c r="T259" s="16">
        <v>0.36299999999999999</v>
      </c>
    </row>
    <row r="260" spans="1:20" ht="39.950000000000003" customHeight="1" x14ac:dyDescent="0.25">
      <c r="A260" s="17" t="s">
        <v>279</v>
      </c>
      <c r="B260" s="18" t="s">
        <v>848</v>
      </c>
      <c r="C260" s="313" t="s">
        <v>370</v>
      </c>
      <c r="D260" s="313">
        <v>17036</v>
      </c>
      <c r="E260" s="313" t="s">
        <v>923</v>
      </c>
      <c r="F260" s="16">
        <v>1.49</v>
      </c>
      <c r="G260" s="16">
        <v>1.860001</v>
      </c>
      <c r="H260" s="16">
        <v>1.860001</v>
      </c>
      <c r="I260" s="313" t="s">
        <v>921</v>
      </c>
      <c r="J260" s="16">
        <v>1.07</v>
      </c>
      <c r="K260" s="16">
        <v>1.33</v>
      </c>
      <c r="L260" s="16">
        <v>1.33</v>
      </c>
      <c r="M260" s="313" t="s">
        <v>920</v>
      </c>
      <c r="N260" s="16">
        <v>0.87</v>
      </c>
      <c r="O260" s="16">
        <v>0.98</v>
      </c>
      <c r="P260" s="16">
        <v>0.98</v>
      </c>
      <c r="Q260" s="313" t="s">
        <v>921</v>
      </c>
      <c r="R260" s="16">
        <v>0.24</v>
      </c>
      <c r="S260" s="16">
        <v>0.27900000000000003</v>
      </c>
      <c r="T260" s="16">
        <v>0.27900000000000003</v>
      </c>
    </row>
    <row r="261" spans="1:20" ht="39.950000000000003" customHeight="1" x14ac:dyDescent="0.25">
      <c r="A261" s="17" t="s">
        <v>427</v>
      </c>
      <c r="B261" s="18" t="s">
        <v>849</v>
      </c>
      <c r="C261" s="313" t="s">
        <v>370</v>
      </c>
      <c r="D261" s="313">
        <v>17036</v>
      </c>
      <c r="E261" s="313" t="s">
        <v>923</v>
      </c>
      <c r="F261" s="16">
        <v>1.33</v>
      </c>
      <c r="G261" s="16">
        <v>1.660002</v>
      </c>
      <c r="H261" s="16">
        <v>1.660002</v>
      </c>
      <c r="I261" s="313" t="s">
        <v>921</v>
      </c>
      <c r="J261" s="16">
        <v>1.57</v>
      </c>
      <c r="K261" s="16">
        <v>1.96</v>
      </c>
      <c r="L261" s="16">
        <v>1.96</v>
      </c>
      <c r="M261" s="313" t="s">
        <v>921</v>
      </c>
      <c r="N261" s="16">
        <v>0.94</v>
      </c>
      <c r="O261" s="16">
        <v>1.0500020000000001</v>
      </c>
      <c r="P261" s="16">
        <v>1.0500020000000001</v>
      </c>
      <c r="Q261" s="313" t="s">
        <v>921</v>
      </c>
      <c r="R261" s="16">
        <v>0.23699999999999999</v>
      </c>
      <c r="S261" s="16">
        <v>0.27600000000000002</v>
      </c>
      <c r="T261" s="16">
        <v>0.27600000000000002</v>
      </c>
    </row>
    <row r="262" spans="1:20" ht="39.950000000000003" customHeight="1" x14ac:dyDescent="0.25">
      <c r="A262" s="313" t="s">
        <v>318</v>
      </c>
      <c r="B262" s="18" t="s">
        <v>850</v>
      </c>
      <c r="C262" s="313" t="s">
        <v>370</v>
      </c>
      <c r="D262" s="313">
        <v>17036</v>
      </c>
      <c r="E262" s="313" t="s">
        <v>923</v>
      </c>
      <c r="F262" s="16">
        <v>1.21</v>
      </c>
      <c r="G262" s="16">
        <v>1.52</v>
      </c>
      <c r="H262" s="16">
        <v>1.52</v>
      </c>
      <c r="I262" s="313" t="s">
        <v>924</v>
      </c>
      <c r="J262" s="16">
        <v>0</v>
      </c>
      <c r="K262" s="16">
        <v>2.3499999999999999E-4</v>
      </c>
      <c r="L262" s="16">
        <v>2.3499999999999999E-4</v>
      </c>
      <c r="M262" s="313" t="s">
        <v>920</v>
      </c>
      <c r="N262" s="16">
        <v>0.84</v>
      </c>
      <c r="O262" s="16">
        <v>0.94</v>
      </c>
      <c r="P262" s="16">
        <v>0.94</v>
      </c>
      <c r="Q262" s="313" t="s">
        <v>921</v>
      </c>
      <c r="R262" s="16">
        <v>0.254</v>
      </c>
      <c r="S262" s="16">
        <v>0.29599999999999999</v>
      </c>
      <c r="T262" s="16">
        <v>0.29599999999999999</v>
      </c>
    </row>
    <row r="263" spans="1:20" ht="39.950000000000003" customHeight="1" x14ac:dyDescent="0.25">
      <c r="A263" s="313" t="s">
        <v>851</v>
      </c>
      <c r="B263" s="18" t="s">
        <v>852</v>
      </c>
      <c r="C263" s="313" t="s">
        <v>370</v>
      </c>
      <c r="D263" s="313">
        <v>17036</v>
      </c>
      <c r="E263" s="313" t="s">
        <v>924</v>
      </c>
      <c r="F263" s="16">
        <v>0</v>
      </c>
      <c r="G263" s="16">
        <v>1.15E-4</v>
      </c>
      <c r="H263" s="16">
        <v>1.15E-4</v>
      </c>
      <c r="I263" s="313" t="s">
        <v>924</v>
      </c>
      <c r="J263" s="16">
        <v>0</v>
      </c>
      <c r="K263" s="16">
        <v>2.3599999999999999E-4</v>
      </c>
      <c r="L263" s="16">
        <v>2.3599999999999999E-4</v>
      </c>
      <c r="M263" s="313" t="s">
        <v>924</v>
      </c>
      <c r="N263" s="16">
        <v>0</v>
      </c>
      <c r="O263" s="16">
        <v>1.5699999999999999E-4</v>
      </c>
      <c r="P263" s="16">
        <v>1.5699999999999999E-4</v>
      </c>
      <c r="Q263" s="313" t="s">
        <v>924</v>
      </c>
      <c r="R263" s="16">
        <v>0</v>
      </c>
      <c r="S263" s="16">
        <v>1.7899999999999999E-4</v>
      </c>
      <c r="T263" s="16">
        <v>1.7899999999999999E-4</v>
      </c>
    </row>
    <row r="264" spans="1:20" ht="39.950000000000003" customHeight="1" x14ac:dyDescent="0.25">
      <c r="A264" s="17" t="s">
        <v>554</v>
      </c>
      <c r="B264" s="18" t="s">
        <v>853</v>
      </c>
      <c r="C264" s="313" t="s">
        <v>437</v>
      </c>
      <c r="D264" s="313">
        <v>17037</v>
      </c>
      <c r="E264" s="313" t="s">
        <v>924</v>
      </c>
      <c r="F264" s="16">
        <v>0</v>
      </c>
      <c r="G264" s="16">
        <v>3.0000000000000001E-6</v>
      </c>
      <c r="H264" s="16">
        <v>3.0000000000000001E-6</v>
      </c>
      <c r="I264" s="313" t="s">
        <v>924</v>
      </c>
      <c r="J264" s="16">
        <v>0</v>
      </c>
      <c r="K264" s="16">
        <v>5.0000000000000004E-6</v>
      </c>
      <c r="L264" s="16">
        <v>5.0000000000000004E-6</v>
      </c>
      <c r="M264" s="313" t="s">
        <v>920</v>
      </c>
      <c r="N264" s="16">
        <v>0.69</v>
      </c>
      <c r="O264" s="16">
        <v>0.77000100000000005</v>
      </c>
      <c r="P264" s="16">
        <v>0.77000100000000005</v>
      </c>
      <c r="Q264" s="313" t="s">
        <v>921</v>
      </c>
      <c r="R264" s="16">
        <v>0.16600000000000001</v>
      </c>
      <c r="S264" s="16">
        <v>0.19400000000000001</v>
      </c>
      <c r="T264" s="16">
        <v>0.19400000000000001</v>
      </c>
    </row>
    <row r="265" spans="1:20" ht="39.950000000000003" customHeight="1" x14ac:dyDescent="0.25">
      <c r="A265" s="313" t="s">
        <v>932</v>
      </c>
      <c r="B265" s="18" t="s">
        <v>933</v>
      </c>
      <c r="C265" s="313" t="s">
        <v>437</v>
      </c>
      <c r="D265" s="313">
        <v>17037</v>
      </c>
      <c r="E265" s="313" t="s">
        <v>924</v>
      </c>
      <c r="F265" s="16">
        <v>0</v>
      </c>
      <c r="G265" s="16">
        <v>3.0000000000000001E-6</v>
      </c>
      <c r="H265" s="16">
        <v>3.0000000000000001E-6</v>
      </c>
      <c r="I265" s="313" t="s">
        <v>924</v>
      </c>
      <c r="J265" s="16">
        <v>0</v>
      </c>
      <c r="K265" s="16">
        <v>3.0000000000000001E-6</v>
      </c>
      <c r="L265" s="16">
        <v>3.0000000000000001E-6</v>
      </c>
      <c r="M265" s="313" t="s">
        <v>924</v>
      </c>
      <c r="N265" s="16">
        <v>0</v>
      </c>
      <c r="O265" s="16">
        <v>3.0000000000000001E-6</v>
      </c>
      <c r="P265" s="16">
        <v>3.0000000000000001E-6</v>
      </c>
      <c r="Q265" s="313" t="s">
        <v>924</v>
      </c>
      <c r="R265" s="16">
        <v>0</v>
      </c>
      <c r="S265" s="16">
        <v>3.0000000000000001E-6</v>
      </c>
      <c r="T265" s="16">
        <v>3.0000000000000001E-6</v>
      </c>
    </row>
    <row r="266" spans="1:20" ht="39.950000000000003" customHeight="1" x14ac:dyDescent="0.25">
      <c r="A266" s="313" t="s">
        <v>409</v>
      </c>
      <c r="B266" s="18" t="s">
        <v>854</v>
      </c>
      <c r="C266" s="313" t="s">
        <v>437</v>
      </c>
      <c r="D266" s="313">
        <v>17037</v>
      </c>
      <c r="E266" s="313" t="s">
        <v>923</v>
      </c>
      <c r="F266" s="16">
        <v>0.75</v>
      </c>
      <c r="G266" s="16">
        <v>0.93</v>
      </c>
      <c r="H266" s="16">
        <v>0.93</v>
      </c>
      <c r="I266" s="313" t="s">
        <v>924</v>
      </c>
      <c r="J266" s="16">
        <v>0</v>
      </c>
      <c r="K266" s="16">
        <v>6.4999999999999994E-5</v>
      </c>
      <c r="L266" s="16">
        <v>6.4999999999999994E-5</v>
      </c>
      <c r="M266" s="313" t="s">
        <v>920</v>
      </c>
      <c r="N266" s="16">
        <v>0.49</v>
      </c>
      <c r="O266" s="16">
        <v>0.55000199999999999</v>
      </c>
      <c r="P266" s="16">
        <v>0.55000199999999999</v>
      </c>
      <c r="Q266" s="313" t="s">
        <v>924</v>
      </c>
      <c r="R266" s="16">
        <v>0</v>
      </c>
      <c r="S266" s="16">
        <v>4.6999999999999997E-5</v>
      </c>
      <c r="T266" s="16">
        <v>4.6999999999999997E-5</v>
      </c>
    </row>
    <row r="267" spans="1:20" ht="39.950000000000003" customHeight="1" x14ac:dyDescent="0.25">
      <c r="A267" s="17" t="s">
        <v>330</v>
      </c>
      <c r="B267" s="18" t="s">
        <v>855</v>
      </c>
      <c r="C267" s="313" t="s">
        <v>437</v>
      </c>
      <c r="D267" s="313">
        <v>17037</v>
      </c>
      <c r="E267" s="313" t="s">
        <v>923</v>
      </c>
      <c r="F267" s="16">
        <v>1.35</v>
      </c>
      <c r="G267" s="16">
        <v>1.69</v>
      </c>
      <c r="H267" s="16">
        <v>1.69</v>
      </c>
      <c r="I267" s="313" t="s">
        <v>924</v>
      </c>
      <c r="J267" s="16">
        <v>0</v>
      </c>
      <c r="K267" s="16">
        <v>9.2E-5</v>
      </c>
      <c r="L267" s="16">
        <v>9.2E-5</v>
      </c>
      <c r="M267" s="313" t="s">
        <v>921</v>
      </c>
      <c r="N267" s="16">
        <v>0.97</v>
      </c>
      <c r="O267" s="16">
        <v>1.090001</v>
      </c>
      <c r="P267" s="16">
        <v>1.090001</v>
      </c>
      <c r="Q267" s="313" t="s">
        <v>921</v>
      </c>
      <c r="R267" s="16">
        <v>0.29599999999999999</v>
      </c>
      <c r="S267" s="16">
        <v>0.34399999999999997</v>
      </c>
      <c r="T267" s="16">
        <v>0.34399999999999997</v>
      </c>
    </row>
    <row r="268" spans="1:20" ht="39.950000000000003" customHeight="1" x14ac:dyDescent="0.25">
      <c r="A268" s="17" t="s">
        <v>389</v>
      </c>
      <c r="B268" s="18" t="s">
        <v>856</v>
      </c>
      <c r="C268" s="313" t="s">
        <v>437</v>
      </c>
      <c r="D268" s="313">
        <v>17037</v>
      </c>
      <c r="E268" s="313" t="s">
        <v>923</v>
      </c>
      <c r="F268" s="16">
        <v>1.43</v>
      </c>
      <c r="G268" s="16">
        <v>1.79</v>
      </c>
      <c r="H268" s="16">
        <v>1.79</v>
      </c>
      <c r="I268" s="313" t="s">
        <v>924</v>
      </c>
      <c r="J268" s="16">
        <v>0</v>
      </c>
      <c r="K268" s="16">
        <v>9.7E-5</v>
      </c>
      <c r="L268" s="16">
        <v>9.7E-5</v>
      </c>
      <c r="M268" s="313" t="s">
        <v>921</v>
      </c>
      <c r="N268" s="16">
        <v>0.94</v>
      </c>
      <c r="O268" s="16">
        <v>1.06</v>
      </c>
      <c r="P268" s="16">
        <v>1.06</v>
      </c>
      <c r="Q268" s="313" t="s">
        <v>921</v>
      </c>
      <c r="R268" s="16">
        <v>0.214</v>
      </c>
      <c r="S268" s="16">
        <v>0.248</v>
      </c>
      <c r="T268" s="16">
        <v>0.248</v>
      </c>
    </row>
    <row r="269" spans="1:20" ht="39.950000000000003" customHeight="1" x14ac:dyDescent="0.25">
      <c r="A269" s="313" t="s">
        <v>263</v>
      </c>
      <c r="B269" s="18" t="s">
        <v>857</v>
      </c>
      <c r="C269" s="313" t="s">
        <v>437</v>
      </c>
      <c r="D269" s="313">
        <v>17037</v>
      </c>
      <c r="E269" s="313" t="s">
        <v>920</v>
      </c>
      <c r="F269" s="16">
        <v>1.96</v>
      </c>
      <c r="G269" s="16">
        <v>2.4500009999999999</v>
      </c>
      <c r="H269" s="16">
        <v>2.4500009999999999</v>
      </c>
      <c r="I269" s="313" t="s">
        <v>924</v>
      </c>
      <c r="J269" s="16">
        <v>0</v>
      </c>
      <c r="K269" s="16">
        <v>1.08E-4</v>
      </c>
      <c r="L269" s="16">
        <v>1.08E-4</v>
      </c>
      <c r="M269" s="313" t="s">
        <v>921</v>
      </c>
      <c r="N269" s="16">
        <v>0.98</v>
      </c>
      <c r="O269" s="16">
        <v>1.1000019999999999</v>
      </c>
      <c r="P269" s="16">
        <v>1.1000019999999999</v>
      </c>
      <c r="Q269" s="313" t="s">
        <v>921</v>
      </c>
      <c r="R269" s="16">
        <v>0.28699999999999998</v>
      </c>
      <c r="S269" s="16">
        <v>0.33400000000000002</v>
      </c>
      <c r="T269" s="16">
        <v>0.33400000000000002</v>
      </c>
    </row>
    <row r="270" spans="1:20" ht="39.950000000000003" customHeight="1" x14ac:dyDescent="0.25">
      <c r="A270" s="17" t="s">
        <v>329</v>
      </c>
      <c r="B270" s="18" t="s">
        <v>858</v>
      </c>
      <c r="C270" s="313" t="s">
        <v>437</v>
      </c>
      <c r="D270" s="313">
        <v>17037</v>
      </c>
      <c r="E270" s="313" t="s">
        <v>926</v>
      </c>
      <c r="F270" s="16">
        <v>0.63</v>
      </c>
      <c r="G270" s="16">
        <v>0.79000099999999995</v>
      </c>
      <c r="H270" s="16">
        <v>0.79000099999999995</v>
      </c>
      <c r="I270" s="313" t="s">
        <v>924</v>
      </c>
      <c r="J270" s="16">
        <v>0</v>
      </c>
      <c r="K270" s="16">
        <v>1.22E-4</v>
      </c>
      <c r="L270" s="16">
        <v>1.22E-4</v>
      </c>
      <c r="M270" s="313" t="s">
        <v>920</v>
      </c>
      <c r="N270" s="16">
        <v>0.49</v>
      </c>
      <c r="O270" s="16">
        <v>0.55000000000000004</v>
      </c>
      <c r="P270" s="16">
        <v>0.55000000000000004</v>
      </c>
      <c r="Q270" s="313" t="s">
        <v>920</v>
      </c>
      <c r="R270" s="16">
        <v>0.151</v>
      </c>
      <c r="S270" s="16">
        <v>0.17599999999999999</v>
      </c>
      <c r="T270" s="16">
        <v>0.17599999999999999</v>
      </c>
    </row>
    <row r="271" spans="1:20" ht="39.950000000000003" customHeight="1" x14ac:dyDescent="0.25">
      <c r="A271" s="17" t="s">
        <v>242</v>
      </c>
      <c r="B271" s="18" t="s">
        <v>859</v>
      </c>
      <c r="C271" s="313" t="s">
        <v>437</v>
      </c>
      <c r="D271" s="313">
        <v>17037</v>
      </c>
      <c r="E271" s="313" t="s">
        <v>923</v>
      </c>
      <c r="F271" s="16">
        <v>0.97</v>
      </c>
      <c r="G271" s="16">
        <v>1.21</v>
      </c>
      <c r="H271" s="16">
        <v>1.21</v>
      </c>
      <c r="I271" s="313" t="s">
        <v>921</v>
      </c>
      <c r="J271" s="16">
        <v>1.43</v>
      </c>
      <c r="K271" s="16">
        <v>1.79</v>
      </c>
      <c r="L271" s="16">
        <v>1.79</v>
      </c>
      <c r="M271" s="313" t="s">
        <v>921</v>
      </c>
      <c r="N271" s="16">
        <v>0.92</v>
      </c>
      <c r="O271" s="16">
        <v>1.040001</v>
      </c>
      <c r="P271" s="16">
        <v>1.040001</v>
      </c>
      <c r="Q271" s="313" t="s">
        <v>921</v>
      </c>
      <c r="R271" s="16">
        <v>0.24099999999999999</v>
      </c>
      <c r="S271" s="16">
        <v>0.28100000000000003</v>
      </c>
      <c r="T271" s="16">
        <v>0.28100000000000003</v>
      </c>
    </row>
    <row r="272" spans="1:20" ht="39.950000000000003" customHeight="1" x14ac:dyDescent="0.25">
      <c r="A272" s="313" t="s">
        <v>259</v>
      </c>
      <c r="B272" s="18" t="s">
        <v>860</v>
      </c>
      <c r="C272" s="313" t="s">
        <v>437</v>
      </c>
      <c r="D272" s="313">
        <v>17037</v>
      </c>
      <c r="E272" s="313" t="s">
        <v>920</v>
      </c>
      <c r="F272" s="16">
        <v>1.89</v>
      </c>
      <c r="G272" s="16">
        <v>2.37</v>
      </c>
      <c r="H272" s="16">
        <v>2.37</v>
      </c>
      <c r="I272" s="313" t="s">
        <v>924</v>
      </c>
      <c r="J272" s="16">
        <v>0</v>
      </c>
      <c r="K272" s="16">
        <v>1.35E-4</v>
      </c>
      <c r="L272" s="16">
        <v>1.35E-4</v>
      </c>
      <c r="M272" s="313" t="s">
        <v>924</v>
      </c>
      <c r="N272" s="16">
        <v>0</v>
      </c>
      <c r="O272" s="16">
        <v>8.8999999999999995E-5</v>
      </c>
      <c r="P272" s="16">
        <v>8.8999999999999995E-5</v>
      </c>
      <c r="Q272" s="313" t="s">
        <v>924</v>
      </c>
      <c r="R272" s="16">
        <v>0</v>
      </c>
      <c r="S272" s="16">
        <v>9.7E-5</v>
      </c>
      <c r="T272" s="16">
        <v>9.7E-5</v>
      </c>
    </row>
    <row r="273" spans="1:20" ht="39.950000000000003" customHeight="1" x14ac:dyDescent="0.25">
      <c r="A273" s="17" t="s">
        <v>417</v>
      </c>
      <c r="B273" s="18" t="s">
        <v>861</v>
      </c>
      <c r="C273" s="313" t="s">
        <v>437</v>
      </c>
      <c r="D273" s="313">
        <v>17037</v>
      </c>
      <c r="E273" s="313" t="s">
        <v>923</v>
      </c>
      <c r="F273" s="16">
        <v>1.28</v>
      </c>
      <c r="G273" s="16">
        <v>1.6</v>
      </c>
      <c r="H273" s="16">
        <v>1.6</v>
      </c>
      <c r="I273" s="313" t="s">
        <v>924</v>
      </c>
      <c r="J273" s="16">
        <v>0</v>
      </c>
      <c r="K273" s="16">
        <v>1.6100000000000001E-4</v>
      </c>
      <c r="L273" s="16">
        <v>1.6100000000000001E-4</v>
      </c>
      <c r="M273" s="313" t="s">
        <v>920</v>
      </c>
      <c r="N273" s="16">
        <v>0.65</v>
      </c>
      <c r="O273" s="16">
        <v>0.73</v>
      </c>
      <c r="P273" s="16">
        <v>0.73</v>
      </c>
      <c r="Q273" s="313" t="s">
        <v>921</v>
      </c>
      <c r="R273" s="16">
        <v>0.16</v>
      </c>
      <c r="S273" s="16">
        <v>0.186</v>
      </c>
      <c r="T273" s="16">
        <v>0.186</v>
      </c>
    </row>
    <row r="274" spans="1:20" ht="39.950000000000003" customHeight="1" x14ac:dyDescent="0.25">
      <c r="A274" s="313" t="s">
        <v>485</v>
      </c>
      <c r="B274" s="18" t="s">
        <v>862</v>
      </c>
      <c r="C274" s="313" t="s">
        <v>437</v>
      </c>
      <c r="D274" s="313">
        <v>17037</v>
      </c>
      <c r="E274" s="313" t="s">
        <v>923</v>
      </c>
      <c r="F274" s="16">
        <v>1.21</v>
      </c>
      <c r="G274" s="16">
        <v>1.5200020000000001</v>
      </c>
      <c r="H274" s="16">
        <v>1.5200020000000001</v>
      </c>
      <c r="I274" s="313" t="s">
        <v>924</v>
      </c>
      <c r="J274" s="16">
        <v>0</v>
      </c>
      <c r="K274" s="16">
        <v>2.1800000000000001E-4</v>
      </c>
      <c r="L274" s="16">
        <v>2.1800000000000001E-4</v>
      </c>
      <c r="M274" s="313" t="s">
        <v>921</v>
      </c>
      <c r="N274" s="16">
        <v>0.92</v>
      </c>
      <c r="O274" s="16">
        <v>1.04</v>
      </c>
      <c r="P274" s="16">
        <v>1.04</v>
      </c>
      <c r="Q274" s="313" t="s">
        <v>924</v>
      </c>
      <c r="R274" s="16">
        <v>0</v>
      </c>
      <c r="S274" s="16">
        <v>1.63E-4</v>
      </c>
      <c r="T274" s="16">
        <v>1.63E-4</v>
      </c>
    </row>
    <row r="275" spans="1:20" ht="39.950000000000003" customHeight="1" x14ac:dyDescent="0.25">
      <c r="A275" s="17" t="s">
        <v>401</v>
      </c>
      <c r="B275" s="18" t="s">
        <v>863</v>
      </c>
      <c r="C275" s="313" t="s">
        <v>433</v>
      </c>
      <c r="D275" s="313">
        <v>17041</v>
      </c>
      <c r="E275" s="313" t="s">
        <v>924</v>
      </c>
      <c r="F275" s="16">
        <v>0</v>
      </c>
      <c r="G275" s="16">
        <v>1.9999999999999999E-6</v>
      </c>
      <c r="H275" s="16">
        <v>1.9999999999999999E-6</v>
      </c>
      <c r="I275" s="313" t="s">
        <v>924</v>
      </c>
      <c r="J275" s="16">
        <v>0</v>
      </c>
      <c r="K275" s="16">
        <v>3.9999999999999998E-6</v>
      </c>
      <c r="L275" s="16">
        <v>3.9999999999999998E-6</v>
      </c>
      <c r="M275" s="313" t="s">
        <v>924</v>
      </c>
      <c r="N275" s="16">
        <v>0</v>
      </c>
      <c r="O275" s="16">
        <v>3.0000000000000001E-6</v>
      </c>
      <c r="P275" s="16">
        <v>3.0000000000000001E-6</v>
      </c>
      <c r="Q275" s="313" t="s">
        <v>924</v>
      </c>
      <c r="R275" s="16">
        <v>0</v>
      </c>
      <c r="S275" s="16">
        <v>3.0000000000000001E-6</v>
      </c>
      <c r="T275" s="16">
        <v>3.0000000000000001E-6</v>
      </c>
    </row>
    <row r="276" spans="1:20" ht="39.950000000000003" customHeight="1" x14ac:dyDescent="0.25">
      <c r="A276" s="17" t="s">
        <v>532</v>
      </c>
      <c r="B276" s="18" t="s">
        <v>864</v>
      </c>
      <c r="C276" s="313" t="s">
        <v>433</v>
      </c>
      <c r="D276" s="313">
        <v>17041</v>
      </c>
      <c r="E276" s="313" t="s">
        <v>924</v>
      </c>
      <c r="F276" s="16">
        <v>0</v>
      </c>
      <c r="G276" s="16">
        <v>1.4E-5</v>
      </c>
      <c r="H276" s="16">
        <v>1.4E-5</v>
      </c>
      <c r="I276" s="313" t="s">
        <v>924</v>
      </c>
      <c r="J276" s="16">
        <v>0</v>
      </c>
      <c r="K276" s="16">
        <v>1.7E-5</v>
      </c>
      <c r="L276" s="16">
        <v>1.7E-5</v>
      </c>
      <c r="M276" s="313" t="s">
        <v>924</v>
      </c>
      <c r="N276" s="16">
        <v>0</v>
      </c>
      <c r="O276" s="16">
        <v>1.5E-5</v>
      </c>
      <c r="P276" s="16">
        <v>1.5E-5</v>
      </c>
      <c r="Q276" s="313" t="s">
        <v>924</v>
      </c>
      <c r="R276" s="16">
        <v>0</v>
      </c>
      <c r="S276" s="16">
        <v>1.5E-5</v>
      </c>
      <c r="T276" s="16">
        <v>1.5E-5</v>
      </c>
    </row>
    <row r="277" spans="1:20" ht="39.950000000000003" customHeight="1" x14ac:dyDescent="0.25">
      <c r="A277" s="313" t="s">
        <v>299</v>
      </c>
      <c r="B277" s="18" t="s">
        <v>865</v>
      </c>
      <c r="C277" s="313" t="s">
        <v>433</v>
      </c>
      <c r="D277" s="313">
        <v>17041</v>
      </c>
      <c r="E277" s="313" t="s">
        <v>923</v>
      </c>
      <c r="F277" s="16">
        <v>1.03</v>
      </c>
      <c r="G277" s="16">
        <v>1.290001</v>
      </c>
      <c r="H277" s="16">
        <v>1.290001</v>
      </c>
      <c r="I277" s="313" t="s">
        <v>924</v>
      </c>
      <c r="J277" s="16">
        <v>0</v>
      </c>
      <c r="K277" s="16">
        <v>5.1999999999999997E-5</v>
      </c>
      <c r="L277" s="16">
        <v>5.1999999999999997E-5</v>
      </c>
      <c r="M277" s="313" t="s">
        <v>920</v>
      </c>
      <c r="N277" s="16">
        <v>0.59</v>
      </c>
      <c r="O277" s="16">
        <v>0.66000199999999998</v>
      </c>
      <c r="P277" s="16">
        <v>0.66000199999999998</v>
      </c>
      <c r="Q277" s="313" t="s">
        <v>921</v>
      </c>
      <c r="R277" s="16">
        <v>0.19</v>
      </c>
      <c r="S277" s="16">
        <v>0.221</v>
      </c>
      <c r="T277" s="16">
        <v>0.221</v>
      </c>
    </row>
    <row r="278" spans="1:20" ht="39.950000000000003" customHeight="1" x14ac:dyDescent="0.25">
      <c r="A278" s="313" t="s">
        <v>297</v>
      </c>
      <c r="B278" s="18" t="s">
        <v>866</v>
      </c>
      <c r="C278" s="313" t="s">
        <v>433</v>
      </c>
      <c r="D278" s="313">
        <v>17041</v>
      </c>
      <c r="E278" s="313" t="s">
        <v>926</v>
      </c>
      <c r="F278" s="16">
        <v>0.78</v>
      </c>
      <c r="G278" s="16">
        <v>0.98000200000000004</v>
      </c>
      <c r="H278" s="16">
        <v>0.98000200000000004</v>
      </c>
      <c r="I278" s="313" t="s">
        <v>924</v>
      </c>
      <c r="J278" s="16">
        <v>0</v>
      </c>
      <c r="K278" s="16">
        <v>5.7000000000000003E-5</v>
      </c>
      <c r="L278" s="16">
        <v>5.7000000000000003E-5</v>
      </c>
      <c r="M278" s="313" t="s">
        <v>920</v>
      </c>
      <c r="N278" s="16">
        <v>0.46</v>
      </c>
      <c r="O278" s="16">
        <v>0.51</v>
      </c>
      <c r="P278" s="16">
        <v>0.51</v>
      </c>
      <c r="Q278" s="313" t="s">
        <v>924</v>
      </c>
      <c r="R278" s="16">
        <v>0</v>
      </c>
      <c r="S278" s="16">
        <v>4.0000000000000003E-5</v>
      </c>
      <c r="T278" s="16">
        <v>4.0000000000000003E-5</v>
      </c>
    </row>
    <row r="279" spans="1:20" ht="39.950000000000003" customHeight="1" x14ac:dyDescent="0.25">
      <c r="A279" s="17" t="s">
        <v>465</v>
      </c>
      <c r="B279" s="18" t="s">
        <v>867</v>
      </c>
      <c r="C279" s="313" t="s">
        <v>433</v>
      </c>
      <c r="D279" s="313">
        <v>17041</v>
      </c>
      <c r="E279" s="313" t="s">
        <v>924</v>
      </c>
      <c r="F279" s="16">
        <v>0</v>
      </c>
      <c r="G279" s="16">
        <v>3.6000000000000001E-5</v>
      </c>
      <c r="H279" s="16">
        <v>3.6000000000000001E-5</v>
      </c>
      <c r="I279" s="313" t="s">
        <v>924</v>
      </c>
      <c r="J279" s="16">
        <v>0</v>
      </c>
      <c r="K279" s="16">
        <v>5.8999999999999998E-5</v>
      </c>
      <c r="L279" s="16">
        <v>5.8999999999999998E-5</v>
      </c>
      <c r="M279" s="313" t="s">
        <v>924</v>
      </c>
      <c r="N279" s="16">
        <v>0</v>
      </c>
      <c r="O279" s="16">
        <v>4.6E-5</v>
      </c>
      <c r="P279" s="16">
        <v>4.6E-5</v>
      </c>
      <c r="Q279" s="313" t="s">
        <v>924</v>
      </c>
      <c r="R279" s="16">
        <v>0</v>
      </c>
      <c r="S279" s="16">
        <v>4.1999999999999998E-5</v>
      </c>
      <c r="T279" s="16">
        <v>4.1999999999999998E-5</v>
      </c>
    </row>
    <row r="280" spans="1:20" ht="39.950000000000003" customHeight="1" x14ac:dyDescent="0.25">
      <c r="A280" s="17" t="s">
        <v>533</v>
      </c>
      <c r="B280" s="18" t="s">
        <v>868</v>
      </c>
      <c r="C280" s="313" t="s">
        <v>433</v>
      </c>
      <c r="D280" s="313">
        <v>17041</v>
      </c>
      <c r="E280" s="313" t="s">
        <v>926</v>
      </c>
      <c r="F280" s="16">
        <v>0.72</v>
      </c>
      <c r="G280" s="16">
        <v>0.90000199999999997</v>
      </c>
      <c r="H280" s="16">
        <v>0.90000199999999997</v>
      </c>
      <c r="I280" s="313" t="s">
        <v>924</v>
      </c>
      <c r="J280" s="16">
        <v>0</v>
      </c>
      <c r="K280" s="16">
        <v>7.8999999999999996E-5</v>
      </c>
      <c r="L280" s="16">
        <v>7.8999999999999996E-5</v>
      </c>
      <c r="M280" s="313" t="s">
        <v>920</v>
      </c>
      <c r="N280" s="16">
        <v>0.46</v>
      </c>
      <c r="O280" s="16">
        <v>0.52000199999999996</v>
      </c>
      <c r="P280" s="16">
        <v>0.52000199999999996</v>
      </c>
      <c r="Q280" s="313" t="s">
        <v>924</v>
      </c>
      <c r="R280" s="16">
        <v>0</v>
      </c>
      <c r="S280" s="16">
        <v>5.5999999999999999E-5</v>
      </c>
      <c r="T280" s="16">
        <v>5.5999999999999999E-5</v>
      </c>
    </row>
    <row r="281" spans="1:20" ht="39.950000000000003" customHeight="1" x14ac:dyDescent="0.25">
      <c r="A281" s="313" t="s">
        <v>411</v>
      </c>
      <c r="B281" s="18" t="s">
        <v>869</v>
      </c>
      <c r="C281" s="313" t="s">
        <v>433</v>
      </c>
      <c r="D281" s="313">
        <v>17041</v>
      </c>
      <c r="E281" s="313" t="s">
        <v>923</v>
      </c>
      <c r="F281" s="16">
        <v>1.53</v>
      </c>
      <c r="G281" s="16">
        <v>1.91</v>
      </c>
      <c r="H281" s="16">
        <v>1.91</v>
      </c>
      <c r="I281" s="313" t="s">
        <v>924</v>
      </c>
      <c r="J281" s="16">
        <v>0</v>
      </c>
      <c r="K281" s="16">
        <v>8.0000000000000007E-5</v>
      </c>
      <c r="L281" s="16">
        <v>8.0000000000000007E-5</v>
      </c>
      <c r="M281" s="313" t="s">
        <v>921</v>
      </c>
      <c r="N281" s="16">
        <v>1.1100000000000001</v>
      </c>
      <c r="O281" s="16">
        <v>1.2500009999999999</v>
      </c>
      <c r="P281" s="16">
        <v>1.2500009999999999</v>
      </c>
      <c r="Q281" s="313" t="s">
        <v>924</v>
      </c>
      <c r="R281" s="16">
        <v>0</v>
      </c>
      <c r="S281" s="16">
        <v>5.7000000000000003E-5</v>
      </c>
      <c r="T281" s="16">
        <v>5.7000000000000003E-5</v>
      </c>
    </row>
    <row r="282" spans="1:20" ht="39.950000000000003" customHeight="1" x14ac:dyDescent="0.25">
      <c r="A282" s="17" t="s">
        <v>534</v>
      </c>
      <c r="B282" s="18" t="s">
        <v>870</v>
      </c>
      <c r="C282" s="313" t="s">
        <v>433</v>
      </c>
      <c r="D282" s="313">
        <v>17041</v>
      </c>
      <c r="E282" s="313" t="s">
        <v>924</v>
      </c>
      <c r="F282" s="16">
        <v>0</v>
      </c>
      <c r="G282" s="16">
        <v>4.6999999999999997E-5</v>
      </c>
      <c r="H282" s="16">
        <v>4.6999999999999997E-5</v>
      </c>
      <c r="I282" s="313" t="s">
        <v>924</v>
      </c>
      <c r="J282" s="16">
        <v>0</v>
      </c>
      <c r="K282" s="16">
        <v>8.7000000000000001E-5</v>
      </c>
      <c r="L282" s="16">
        <v>8.7000000000000001E-5</v>
      </c>
      <c r="M282" s="313" t="s">
        <v>924</v>
      </c>
      <c r="N282" s="16">
        <v>0</v>
      </c>
      <c r="O282" s="16">
        <v>5.8E-5</v>
      </c>
      <c r="P282" s="16">
        <v>5.8E-5</v>
      </c>
      <c r="Q282" s="313" t="s">
        <v>924</v>
      </c>
      <c r="R282" s="16">
        <v>0</v>
      </c>
      <c r="S282" s="16">
        <v>6.3E-5</v>
      </c>
      <c r="T282" s="16">
        <v>6.3E-5</v>
      </c>
    </row>
    <row r="283" spans="1:20" ht="39.950000000000003" customHeight="1" x14ac:dyDescent="0.25">
      <c r="A283" s="313" t="s">
        <v>871</v>
      </c>
      <c r="B283" s="18" t="s">
        <v>872</v>
      </c>
      <c r="C283" s="313" t="s">
        <v>433</v>
      </c>
      <c r="D283" s="313">
        <v>17041</v>
      </c>
      <c r="E283" s="313" t="s">
        <v>926</v>
      </c>
      <c r="F283" s="16">
        <v>0.51</v>
      </c>
      <c r="G283" s="16">
        <v>0.64000199999999996</v>
      </c>
      <c r="H283" s="16">
        <v>0.64000199999999996</v>
      </c>
      <c r="I283" s="313" t="s">
        <v>924</v>
      </c>
      <c r="J283" s="16">
        <v>0</v>
      </c>
      <c r="K283" s="16">
        <v>9.0000000000000006E-5</v>
      </c>
      <c r="L283" s="16">
        <v>9.0000000000000006E-5</v>
      </c>
      <c r="M283" s="313" t="s">
        <v>924</v>
      </c>
      <c r="N283" s="16">
        <v>0</v>
      </c>
      <c r="O283" s="16">
        <v>6.0000000000000002E-5</v>
      </c>
      <c r="P283" s="16">
        <v>6.0000000000000002E-5</v>
      </c>
      <c r="Q283" s="313" t="s">
        <v>924</v>
      </c>
      <c r="R283" s="16">
        <v>0</v>
      </c>
      <c r="S283" s="16">
        <v>6.4999999999999994E-5</v>
      </c>
      <c r="T283" s="16">
        <v>6.4999999999999994E-5</v>
      </c>
    </row>
    <row r="284" spans="1:20" ht="39.950000000000003" customHeight="1" x14ac:dyDescent="0.25">
      <c r="A284" s="313" t="s">
        <v>255</v>
      </c>
      <c r="B284" s="18" t="s">
        <v>873</v>
      </c>
      <c r="C284" s="313" t="s">
        <v>433</v>
      </c>
      <c r="D284" s="313">
        <v>17041</v>
      </c>
      <c r="E284" s="313" t="s">
        <v>923</v>
      </c>
      <c r="F284" s="16">
        <v>1.39</v>
      </c>
      <c r="G284" s="16">
        <v>1.73</v>
      </c>
      <c r="H284" s="16">
        <v>1.73</v>
      </c>
      <c r="I284" s="313" t="s">
        <v>924</v>
      </c>
      <c r="J284" s="16">
        <v>0</v>
      </c>
      <c r="K284" s="16">
        <v>9.5000000000000005E-5</v>
      </c>
      <c r="L284" s="16">
        <v>9.5000000000000005E-5</v>
      </c>
      <c r="M284" s="313" t="s">
        <v>921</v>
      </c>
      <c r="N284" s="16">
        <v>1.1100000000000001</v>
      </c>
      <c r="O284" s="16">
        <v>1.2400009999999999</v>
      </c>
      <c r="P284" s="16">
        <v>1.2400009999999999</v>
      </c>
      <c r="Q284" s="313" t="s">
        <v>921</v>
      </c>
      <c r="R284" s="16">
        <v>0.26900000000000002</v>
      </c>
      <c r="S284" s="16">
        <v>0.313</v>
      </c>
      <c r="T284" s="16">
        <v>0.313</v>
      </c>
    </row>
    <row r="285" spans="1:20" ht="39.950000000000003" customHeight="1" x14ac:dyDescent="0.25">
      <c r="A285" s="313" t="s">
        <v>535</v>
      </c>
      <c r="B285" s="18" t="s">
        <v>874</v>
      </c>
      <c r="C285" s="313" t="s">
        <v>433</v>
      </c>
      <c r="D285" s="313">
        <v>17041</v>
      </c>
      <c r="E285" s="313" t="s">
        <v>921</v>
      </c>
      <c r="F285" s="16">
        <v>3.98</v>
      </c>
      <c r="G285" s="16">
        <v>4.9800000000000004</v>
      </c>
      <c r="H285" s="16">
        <v>4.9800000000000004</v>
      </c>
      <c r="I285" s="313" t="s">
        <v>922</v>
      </c>
      <c r="J285" s="16">
        <v>3.34</v>
      </c>
      <c r="K285" s="16">
        <v>4.18</v>
      </c>
      <c r="L285" s="16">
        <v>4.18</v>
      </c>
      <c r="M285" s="313" t="s">
        <v>924</v>
      </c>
      <c r="N285" s="16">
        <v>0</v>
      </c>
      <c r="O285" s="16">
        <v>6.6000000000000005E-5</v>
      </c>
      <c r="P285" s="16">
        <v>6.6000000000000005E-5</v>
      </c>
      <c r="Q285" s="313" t="s">
        <v>924</v>
      </c>
      <c r="R285" s="16">
        <v>0</v>
      </c>
      <c r="S285" s="16">
        <v>7.2000000000000002E-5</v>
      </c>
      <c r="T285" s="16">
        <v>7.2000000000000002E-5</v>
      </c>
    </row>
    <row r="286" spans="1:20" ht="39.950000000000003" customHeight="1" x14ac:dyDescent="0.25">
      <c r="A286" s="313" t="s">
        <v>536</v>
      </c>
      <c r="B286" s="18" t="s">
        <v>875</v>
      </c>
      <c r="C286" s="313" t="s">
        <v>433</v>
      </c>
      <c r="D286" s="313">
        <v>17041</v>
      </c>
      <c r="E286" s="313" t="s">
        <v>924</v>
      </c>
      <c r="F286" s="16">
        <v>0</v>
      </c>
      <c r="G286" s="16">
        <v>5.1999999999999997E-5</v>
      </c>
      <c r="H286" s="16">
        <v>5.1999999999999997E-5</v>
      </c>
      <c r="I286" s="313" t="s">
        <v>924</v>
      </c>
      <c r="J286" s="16">
        <v>0</v>
      </c>
      <c r="K286" s="16">
        <v>1.07E-4</v>
      </c>
      <c r="L286" s="16">
        <v>1.07E-4</v>
      </c>
      <c r="M286" s="313" t="s">
        <v>924</v>
      </c>
      <c r="N286" s="16">
        <v>0</v>
      </c>
      <c r="O286" s="16">
        <v>6.7000000000000002E-5</v>
      </c>
      <c r="P286" s="16">
        <v>6.7000000000000002E-5</v>
      </c>
      <c r="Q286" s="313" t="s">
        <v>924</v>
      </c>
      <c r="R286" s="16">
        <v>0</v>
      </c>
      <c r="S286" s="16">
        <v>7.2999999999999999E-5</v>
      </c>
      <c r="T286" s="16">
        <v>7.2999999999999999E-5</v>
      </c>
    </row>
    <row r="287" spans="1:20" ht="39.950000000000003" customHeight="1" x14ac:dyDescent="0.25">
      <c r="A287" s="313" t="s">
        <v>492</v>
      </c>
      <c r="B287" s="18" t="s">
        <v>876</v>
      </c>
      <c r="C287" s="313" t="s">
        <v>433</v>
      </c>
      <c r="D287" s="313">
        <v>17041</v>
      </c>
      <c r="E287" s="313" t="s">
        <v>920</v>
      </c>
      <c r="F287" s="16">
        <v>2.0099999999999998</v>
      </c>
      <c r="G287" s="16">
        <v>2.52</v>
      </c>
      <c r="H287" s="16">
        <v>2.52</v>
      </c>
      <c r="I287" s="313" t="s">
        <v>921</v>
      </c>
      <c r="J287" s="16">
        <v>0</v>
      </c>
      <c r="K287" s="16">
        <v>2.3650000000000002</v>
      </c>
      <c r="L287" s="16">
        <v>2.3650000000000002</v>
      </c>
      <c r="M287" s="313" t="s">
        <v>921</v>
      </c>
      <c r="N287" s="16">
        <v>1</v>
      </c>
      <c r="O287" s="16">
        <v>1.130002</v>
      </c>
      <c r="P287" s="16">
        <v>1.130002</v>
      </c>
      <c r="Q287" s="313" t="s">
        <v>921</v>
      </c>
      <c r="R287" s="16">
        <v>0.23</v>
      </c>
      <c r="S287" s="16">
        <v>0.26700000000000002</v>
      </c>
      <c r="T287" s="16">
        <v>0.26700000000000002</v>
      </c>
    </row>
    <row r="288" spans="1:20" ht="39.950000000000003" customHeight="1" x14ac:dyDescent="0.25">
      <c r="A288" s="313" t="s">
        <v>537</v>
      </c>
      <c r="B288" s="18" t="s">
        <v>877</v>
      </c>
      <c r="C288" s="313" t="s">
        <v>433</v>
      </c>
      <c r="D288" s="313">
        <v>17041</v>
      </c>
      <c r="E288" s="313" t="s">
        <v>924</v>
      </c>
      <c r="F288" s="16">
        <v>0</v>
      </c>
      <c r="G288" s="16">
        <v>5.7000000000000003E-5</v>
      </c>
      <c r="H288" s="16">
        <v>5.7000000000000003E-5</v>
      </c>
      <c r="I288" s="313" t="s">
        <v>924</v>
      </c>
      <c r="J288" s="16">
        <v>0</v>
      </c>
      <c r="K288" s="16">
        <v>1.15E-4</v>
      </c>
      <c r="L288" s="16">
        <v>1.15E-4</v>
      </c>
      <c r="M288" s="313" t="s">
        <v>924</v>
      </c>
      <c r="N288" s="16">
        <v>0</v>
      </c>
      <c r="O288" s="16">
        <v>7.3999999999999996E-5</v>
      </c>
      <c r="P288" s="16">
        <v>7.3999999999999996E-5</v>
      </c>
      <c r="Q288" s="313" t="s">
        <v>924</v>
      </c>
      <c r="R288" s="16">
        <v>0</v>
      </c>
      <c r="S288" s="16">
        <v>8.0000000000000007E-5</v>
      </c>
      <c r="T288" s="16">
        <v>8.0000000000000007E-5</v>
      </c>
    </row>
    <row r="289" spans="1:20" ht="39.950000000000003" customHeight="1" x14ac:dyDescent="0.25">
      <c r="A289" s="313" t="s">
        <v>538</v>
      </c>
      <c r="B289" s="18" t="s">
        <v>878</v>
      </c>
      <c r="C289" s="313" t="s">
        <v>433</v>
      </c>
      <c r="D289" s="313">
        <v>17041</v>
      </c>
      <c r="E289" s="313" t="s">
        <v>923</v>
      </c>
      <c r="F289" s="16">
        <v>1</v>
      </c>
      <c r="G289" s="16">
        <v>1.25</v>
      </c>
      <c r="H289" s="16">
        <v>1.25</v>
      </c>
      <c r="I289" s="313" t="s">
        <v>924</v>
      </c>
      <c r="J289" s="16">
        <v>0</v>
      </c>
      <c r="K289" s="16">
        <v>1.17E-4</v>
      </c>
      <c r="L289" s="16">
        <v>1.17E-4</v>
      </c>
      <c r="M289" s="313" t="s">
        <v>924</v>
      </c>
      <c r="N289" s="16">
        <v>0</v>
      </c>
      <c r="O289" s="16">
        <v>7.6000000000000004E-5</v>
      </c>
      <c r="P289" s="16">
        <v>7.6000000000000004E-5</v>
      </c>
      <c r="Q289" s="313" t="s">
        <v>924</v>
      </c>
      <c r="R289" s="16">
        <v>0</v>
      </c>
      <c r="S289" s="16">
        <v>8.2000000000000001E-5</v>
      </c>
      <c r="T289" s="16">
        <v>8.2000000000000001E-5</v>
      </c>
    </row>
    <row r="290" spans="1:20" ht="39.950000000000003" customHeight="1" x14ac:dyDescent="0.25">
      <c r="A290" s="17" t="s">
        <v>539</v>
      </c>
      <c r="B290" s="18" t="s">
        <v>879</v>
      </c>
      <c r="C290" s="313" t="s">
        <v>433</v>
      </c>
      <c r="D290" s="313">
        <v>17041</v>
      </c>
      <c r="E290" s="313" t="s">
        <v>922</v>
      </c>
      <c r="F290" s="16">
        <v>5.13</v>
      </c>
      <c r="G290" s="16">
        <v>6.42</v>
      </c>
      <c r="H290" s="16">
        <v>6.42</v>
      </c>
      <c r="I290" s="313" t="s">
        <v>922</v>
      </c>
      <c r="J290" s="16">
        <v>3.48</v>
      </c>
      <c r="K290" s="16">
        <v>4.3600000000000003</v>
      </c>
      <c r="L290" s="16">
        <v>4.3600000000000003</v>
      </c>
      <c r="M290" s="313" t="s">
        <v>922</v>
      </c>
      <c r="N290" s="16">
        <v>2.1</v>
      </c>
      <c r="O290" s="16">
        <v>2.36</v>
      </c>
      <c r="P290" s="16">
        <v>2.36</v>
      </c>
      <c r="Q290" s="313" t="s">
        <v>927</v>
      </c>
      <c r="R290" s="16">
        <v>0.49099999999999999</v>
      </c>
      <c r="S290" s="16">
        <v>0.57099999999999995</v>
      </c>
      <c r="T290" s="16">
        <v>0.49099999999999999</v>
      </c>
    </row>
    <row r="291" spans="1:20" ht="39.950000000000003" customHeight="1" x14ac:dyDescent="0.25">
      <c r="A291" s="313" t="s">
        <v>258</v>
      </c>
      <c r="B291" s="18" t="s">
        <v>880</v>
      </c>
      <c r="C291" s="313" t="s">
        <v>433</v>
      </c>
      <c r="D291" s="313">
        <v>17041</v>
      </c>
      <c r="E291" s="313" t="s">
        <v>923</v>
      </c>
      <c r="F291" s="16">
        <v>1.61</v>
      </c>
      <c r="G291" s="16">
        <v>2.0099999999999998</v>
      </c>
      <c r="H291" s="16">
        <v>2.0099999999999998</v>
      </c>
      <c r="I291" s="313" t="s">
        <v>924</v>
      </c>
      <c r="J291" s="16">
        <v>0</v>
      </c>
      <c r="K291" s="16">
        <v>1.2E-4</v>
      </c>
      <c r="L291" s="16">
        <v>1.2E-4</v>
      </c>
      <c r="M291" s="313" t="s">
        <v>920</v>
      </c>
      <c r="N291" s="16">
        <v>0.74</v>
      </c>
      <c r="O291" s="16">
        <v>0.83</v>
      </c>
      <c r="P291" s="16">
        <v>0.83</v>
      </c>
      <c r="Q291" s="313" t="s">
        <v>924</v>
      </c>
      <c r="R291" s="16">
        <v>0</v>
      </c>
      <c r="S291" s="16">
        <v>8.5000000000000006E-5</v>
      </c>
      <c r="T291" s="16">
        <v>8.5000000000000006E-5</v>
      </c>
    </row>
    <row r="292" spans="1:20" ht="39.950000000000003" customHeight="1" x14ac:dyDescent="0.25">
      <c r="A292" s="313" t="s">
        <v>473</v>
      </c>
      <c r="B292" s="18" t="s">
        <v>881</v>
      </c>
      <c r="C292" s="313" t="s">
        <v>433</v>
      </c>
      <c r="D292" s="313">
        <v>17041</v>
      </c>
      <c r="E292" s="313" t="s">
        <v>924</v>
      </c>
      <c r="F292" s="16">
        <v>0</v>
      </c>
      <c r="G292" s="16">
        <v>6.3999999999999997E-5</v>
      </c>
      <c r="H292" s="16">
        <v>6.3999999999999997E-5</v>
      </c>
      <c r="I292" s="313" t="s">
        <v>924</v>
      </c>
      <c r="J292" s="16">
        <v>0</v>
      </c>
      <c r="K292" s="16">
        <v>1.27E-4</v>
      </c>
      <c r="L292" s="16">
        <v>1.27E-4</v>
      </c>
      <c r="M292" s="313" t="s">
        <v>924</v>
      </c>
      <c r="N292" s="16">
        <v>0</v>
      </c>
      <c r="O292" s="16">
        <v>8.2000000000000001E-5</v>
      </c>
      <c r="P292" s="16">
        <v>8.2000000000000001E-5</v>
      </c>
      <c r="Q292" s="313" t="s">
        <v>924</v>
      </c>
      <c r="R292" s="16">
        <v>0</v>
      </c>
      <c r="S292" s="16">
        <v>9.1000000000000003E-5</v>
      </c>
      <c r="T292" s="16">
        <v>9.1000000000000003E-5</v>
      </c>
    </row>
    <row r="293" spans="1:20" ht="39.950000000000003" customHeight="1" x14ac:dyDescent="0.25">
      <c r="A293" s="17" t="s">
        <v>540</v>
      </c>
      <c r="B293" s="18" t="s">
        <v>882</v>
      </c>
      <c r="C293" s="313" t="s">
        <v>433</v>
      </c>
      <c r="D293" s="313">
        <v>17041</v>
      </c>
      <c r="E293" s="313" t="s">
        <v>924</v>
      </c>
      <c r="F293" s="16">
        <v>0</v>
      </c>
      <c r="G293" s="16">
        <v>6.4999999999999994E-5</v>
      </c>
      <c r="H293" s="16">
        <v>6.4999999999999994E-5</v>
      </c>
      <c r="I293" s="313" t="s">
        <v>924</v>
      </c>
      <c r="J293" s="16">
        <v>0</v>
      </c>
      <c r="K293" s="16">
        <v>1.2799999999999999E-4</v>
      </c>
      <c r="L293" s="16">
        <v>1.2799999999999999E-4</v>
      </c>
      <c r="M293" s="313" t="s">
        <v>924</v>
      </c>
      <c r="N293" s="16">
        <v>0</v>
      </c>
      <c r="O293" s="16">
        <v>8.2999999999999998E-5</v>
      </c>
      <c r="P293" s="16">
        <v>8.2999999999999998E-5</v>
      </c>
      <c r="Q293" s="313" t="s">
        <v>924</v>
      </c>
      <c r="R293" s="16">
        <v>0</v>
      </c>
      <c r="S293" s="16">
        <v>9.2E-5</v>
      </c>
      <c r="T293" s="16">
        <v>9.2E-5</v>
      </c>
    </row>
    <row r="294" spans="1:20" ht="39.950000000000003" customHeight="1" x14ac:dyDescent="0.25">
      <c r="A294" s="313" t="s">
        <v>323</v>
      </c>
      <c r="B294" s="18" t="s">
        <v>883</v>
      </c>
      <c r="C294" s="313" t="s">
        <v>433</v>
      </c>
      <c r="D294" s="313">
        <v>17041</v>
      </c>
      <c r="E294" s="313" t="s">
        <v>923</v>
      </c>
      <c r="F294" s="16">
        <v>1.1100000000000001</v>
      </c>
      <c r="G294" s="16">
        <v>1.390002</v>
      </c>
      <c r="H294" s="16">
        <v>1.390002</v>
      </c>
      <c r="I294" s="313" t="s">
        <v>924</v>
      </c>
      <c r="J294" s="16">
        <v>0</v>
      </c>
      <c r="K294" s="16">
        <v>1.4100000000000001E-4</v>
      </c>
      <c r="L294" s="16">
        <v>1.4100000000000001E-4</v>
      </c>
      <c r="M294" s="313" t="s">
        <v>920</v>
      </c>
      <c r="N294" s="16">
        <v>0.68</v>
      </c>
      <c r="O294" s="16">
        <v>0.76000100000000004</v>
      </c>
      <c r="P294" s="16">
        <v>0.76000100000000004</v>
      </c>
      <c r="Q294" s="313" t="s">
        <v>920</v>
      </c>
      <c r="R294" s="16">
        <v>0.20899999999999999</v>
      </c>
      <c r="S294" s="16">
        <v>0.24299999999999999</v>
      </c>
      <c r="T294" s="16">
        <v>0.24299999999999999</v>
      </c>
    </row>
    <row r="295" spans="1:20" ht="39.950000000000003" customHeight="1" x14ac:dyDescent="0.25">
      <c r="A295" s="313" t="s">
        <v>475</v>
      </c>
      <c r="B295" s="18" t="s">
        <v>884</v>
      </c>
      <c r="C295" s="313" t="s">
        <v>433</v>
      </c>
      <c r="D295" s="313">
        <v>17041</v>
      </c>
      <c r="E295" s="313" t="s">
        <v>924</v>
      </c>
      <c r="F295" s="16">
        <v>0</v>
      </c>
      <c r="G295" s="16">
        <v>7.2999999999999999E-5</v>
      </c>
      <c r="H295" s="16">
        <v>7.2999999999999999E-5</v>
      </c>
      <c r="I295" s="313" t="s">
        <v>924</v>
      </c>
      <c r="J295" s="16">
        <v>0</v>
      </c>
      <c r="K295" s="16">
        <v>1.45E-4</v>
      </c>
      <c r="L295" s="16">
        <v>1.45E-4</v>
      </c>
      <c r="M295" s="313" t="s">
        <v>924</v>
      </c>
      <c r="N295" s="16">
        <v>0</v>
      </c>
      <c r="O295" s="16">
        <v>9.5000000000000005E-5</v>
      </c>
      <c r="P295" s="16">
        <v>9.5000000000000005E-5</v>
      </c>
      <c r="Q295" s="313" t="s">
        <v>924</v>
      </c>
      <c r="R295" s="16">
        <v>0</v>
      </c>
      <c r="S295" s="16">
        <v>1.05E-4</v>
      </c>
      <c r="T295" s="16">
        <v>1.05E-4</v>
      </c>
    </row>
    <row r="296" spans="1:20" ht="39.950000000000003" customHeight="1" x14ac:dyDescent="0.25">
      <c r="A296" s="17" t="s">
        <v>478</v>
      </c>
      <c r="B296" s="18" t="s">
        <v>885</v>
      </c>
      <c r="C296" s="313" t="s">
        <v>433</v>
      </c>
      <c r="D296" s="313">
        <v>17041</v>
      </c>
      <c r="E296" s="313" t="s">
        <v>924</v>
      </c>
      <c r="F296" s="16">
        <v>0</v>
      </c>
      <c r="G296" s="16">
        <v>7.7000000000000001E-5</v>
      </c>
      <c r="H296" s="16">
        <v>7.7000000000000001E-5</v>
      </c>
      <c r="I296" s="313" t="s">
        <v>924</v>
      </c>
      <c r="J296" s="16">
        <v>0</v>
      </c>
      <c r="K296" s="16">
        <v>1.55E-4</v>
      </c>
      <c r="L296" s="16">
        <v>1.55E-4</v>
      </c>
      <c r="M296" s="313" t="s">
        <v>924</v>
      </c>
      <c r="N296" s="16">
        <v>0</v>
      </c>
      <c r="O296" s="16">
        <v>1.01E-4</v>
      </c>
      <c r="P296" s="16">
        <v>1.01E-4</v>
      </c>
      <c r="Q296" s="313" t="s">
        <v>924</v>
      </c>
      <c r="R296" s="16">
        <v>0</v>
      </c>
      <c r="S296" s="16">
        <v>1.13E-4</v>
      </c>
      <c r="T296" s="16">
        <v>1.13E-4</v>
      </c>
    </row>
    <row r="297" spans="1:20" ht="39.950000000000003" customHeight="1" x14ac:dyDescent="0.25">
      <c r="A297" s="17" t="s">
        <v>418</v>
      </c>
      <c r="B297" s="18" t="s">
        <v>886</v>
      </c>
      <c r="C297" s="313" t="s">
        <v>433</v>
      </c>
      <c r="D297" s="313">
        <v>17041</v>
      </c>
      <c r="E297" s="313" t="s">
        <v>926</v>
      </c>
      <c r="F297" s="16">
        <v>0.62</v>
      </c>
      <c r="G297" s="16">
        <v>0.78</v>
      </c>
      <c r="H297" s="16">
        <v>0.78</v>
      </c>
      <c r="I297" s="313" t="s">
        <v>924</v>
      </c>
      <c r="J297" s="16">
        <v>0</v>
      </c>
      <c r="K297" s="16">
        <v>1.65E-4</v>
      </c>
      <c r="L297" s="16">
        <v>1.65E-4</v>
      </c>
      <c r="M297" s="313" t="s">
        <v>924</v>
      </c>
      <c r="N297" s="16">
        <v>0</v>
      </c>
      <c r="O297" s="16">
        <v>1.05E-4</v>
      </c>
      <c r="P297" s="16">
        <v>1.05E-4</v>
      </c>
      <c r="Q297" s="313" t="s">
        <v>924</v>
      </c>
      <c r="R297" s="16">
        <v>0</v>
      </c>
      <c r="S297" s="16">
        <v>1.2E-4</v>
      </c>
      <c r="T297" s="16">
        <v>1.2E-4</v>
      </c>
    </row>
    <row r="298" spans="1:20" ht="39.950000000000003" customHeight="1" x14ac:dyDescent="0.25">
      <c r="A298" s="17" t="s">
        <v>449</v>
      </c>
      <c r="B298" s="18" t="s">
        <v>887</v>
      </c>
      <c r="C298" s="313" t="s">
        <v>433</v>
      </c>
      <c r="D298" s="313">
        <v>17041</v>
      </c>
      <c r="E298" s="313" t="s">
        <v>926</v>
      </c>
      <c r="F298" s="16">
        <v>0.64</v>
      </c>
      <c r="G298" s="16">
        <v>0.80000099999999996</v>
      </c>
      <c r="H298" s="16">
        <v>0.80000099999999996</v>
      </c>
      <c r="I298" s="313" t="s">
        <v>924</v>
      </c>
      <c r="J298" s="16">
        <v>0</v>
      </c>
      <c r="K298" s="16">
        <v>1.6699999999999999E-4</v>
      </c>
      <c r="L298" s="16">
        <v>1.6699999999999999E-4</v>
      </c>
      <c r="M298" s="313" t="s">
        <v>924</v>
      </c>
      <c r="N298" s="16">
        <v>0</v>
      </c>
      <c r="O298" s="16">
        <v>1.06E-4</v>
      </c>
      <c r="P298" s="16">
        <v>1.06E-4</v>
      </c>
      <c r="Q298" s="313" t="s">
        <v>924</v>
      </c>
      <c r="R298" s="16">
        <v>0</v>
      </c>
      <c r="S298" s="16">
        <v>1.21E-4</v>
      </c>
      <c r="T298" s="16">
        <v>1.21E-4</v>
      </c>
    </row>
    <row r="299" spans="1:20" ht="39.950000000000003" customHeight="1" x14ac:dyDescent="0.25">
      <c r="A299" s="17" t="s">
        <v>382</v>
      </c>
      <c r="B299" s="18" t="s">
        <v>888</v>
      </c>
      <c r="C299" s="313" t="s">
        <v>433</v>
      </c>
      <c r="D299" s="313">
        <v>17041</v>
      </c>
      <c r="E299" s="313" t="s">
        <v>923</v>
      </c>
      <c r="F299" s="16">
        <v>1.08</v>
      </c>
      <c r="G299" s="16">
        <v>1.35</v>
      </c>
      <c r="H299" s="16">
        <v>1.35</v>
      </c>
      <c r="I299" s="313" t="s">
        <v>924</v>
      </c>
      <c r="J299" s="16">
        <v>0</v>
      </c>
      <c r="K299" s="16">
        <v>1.7200000000000001E-4</v>
      </c>
      <c r="L299" s="16">
        <v>1.7200000000000001E-4</v>
      </c>
      <c r="M299" s="313" t="s">
        <v>924</v>
      </c>
      <c r="N299" s="16">
        <v>0</v>
      </c>
      <c r="O299" s="16">
        <v>1.11E-4</v>
      </c>
      <c r="P299" s="16">
        <v>1.11E-4</v>
      </c>
      <c r="Q299" s="313" t="s">
        <v>924</v>
      </c>
      <c r="R299" s="16">
        <v>0</v>
      </c>
      <c r="S299" s="16">
        <v>1.26E-4</v>
      </c>
      <c r="T299" s="16">
        <v>1.26E-4</v>
      </c>
    </row>
    <row r="300" spans="1:20" ht="39.950000000000003" customHeight="1" x14ac:dyDescent="0.25">
      <c r="A300" s="313" t="s">
        <v>420</v>
      </c>
      <c r="B300" s="18" t="s">
        <v>889</v>
      </c>
      <c r="C300" s="313" t="s">
        <v>433</v>
      </c>
      <c r="D300" s="313">
        <v>17041</v>
      </c>
      <c r="E300" s="313" t="s">
        <v>924</v>
      </c>
      <c r="F300" s="16">
        <v>0</v>
      </c>
      <c r="G300" s="16">
        <v>8.2999999999999998E-5</v>
      </c>
      <c r="H300" s="16">
        <v>8.2999999999999998E-5</v>
      </c>
      <c r="I300" s="313" t="s">
        <v>924</v>
      </c>
      <c r="J300" s="16">
        <v>0</v>
      </c>
      <c r="K300" s="16">
        <v>1.7699999999999999E-4</v>
      </c>
      <c r="L300" s="16">
        <v>1.7699999999999999E-4</v>
      </c>
      <c r="M300" s="313" t="s">
        <v>920</v>
      </c>
      <c r="N300" s="16">
        <v>0.66</v>
      </c>
      <c r="O300" s="16">
        <v>0.74000100000000002</v>
      </c>
      <c r="P300" s="16">
        <v>0.74000100000000002</v>
      </c>
      <c r="Q300" s="313" t="s">
        <v>924</v>
      </c>
      <c r="R300" s="16">
        <v>0</v>
      </c>
      <c r="S300" s="16">
        <v>1.2899999999999999E-4</v>
      </c>
      <c r="T300" s="16">
        <v>1.2899999999999999E-4</v>
      </c>
    </row>
    <row r="301" spans="1:20" ht="39.950000000000003" customHeight="1" x14ac:dyDescent="0.25">
      <c r="A301" s="313" t="s">
        <v>890</v>
      </c>
      <c r="B301" s="18" t="s">
        <v>891</v>
      </c>
      <c r="C301" s="313" t="s">
        <v>433</v>
      </c>
      <c r="D301" s="313">
        <v>17041</v>
      </c>
      <c r="E301" s="313" t="s">
        <v>923</v>
      </c>
      <c r="F301" s="16">
        <v>0.96</v>
      </c>
      <c r="G301" s="16">
        <v>1.2</v>
      </c>
      <c r="H301" s="16">
        <v>1.2</v>
      </c>
      <c r="I301" s="313" t="s">
        <v>924</v>
      </c>
      <c r="J301" s="16">
        <v>0</v>
      </c>
      <c r="K301" s="16">
        <v>1.7899999999999999E-4</v>
      </c>
      <c r="L301" s="16">
        <v>1.7899999999999999E-4</v>
      </c>
      <c r="M301" s="313" t="s">
        <v>920</v>
      </c>
      <c r="N301" s="16">
        <v>0.88</v>
      </c>
      <c r="O301" s="16">
        <v>0.99</v>
      </c>
      <c r="P301" s="16">
        <v>0.99</v>
      </c>
      <c r="Q301" s="313" t="s">
        <v>924</v>
      </c>
      <c r="R301" s="16">
        <v>0</v>
      </c>
      <c r="S301" s="16">
        <v>1.3100000000000001E-4</v>
      </c>
      <c r="T301" s="16">
        <v>1.3100000000000001E-4</v>
      </c>
    </row>
    <row r="302" spans="1:20" ht="39.950000000000003" customHeight="1" x14ac:dyDescent="0.25">
      <c r="A302" s="17" t="s">
        <v>541</v>
      </c>
      <c r="B302" s="18" t="s">
        <v>892</v>
      </c>
      <c r="C302" s="313" t="s">
        <v>433</v>
      </c>
      <c r="D302" s="313">
        <v>17041</v>
      </c>
      <c r="E302" s="313" t="s">
        <v>924</v>
      </c>
      <c r="F302" s="16">
        <v>0</v>
      </c>
      <c r="G302" s="16">
        <v>8.7999999999999998E-5</v>
      </c>
      <c r="H302" s="16">
        <v>8.7999999999999998E-5</v>
      </c>
      <c r="I302" s="313" t="s">
        <v>924</v>
      </c>
      <c r="J302" s="16">
        <v>0</v>
      </c>
      <c r="K302" s="16">
        <v>1.85E-4</v>
      </c>
      <c r="L302" s="16">
        <v>1.85E-4</v>
      </c>
      <c r="M302" s="313" t="s">
        <v>924</v>
      </c>
      <c r="N302" s="16">
        <v>0</v>
      </c>
      <c r="O302" s="16">
        <v>1.18E-4</v>
      </c>
      <c r="P302" s="16">
        <v>1.18E-4</v>
      </c>
      <c r="Q302" s="313" t="s">
        <v>924</v>
      </c>
      <c r="R302" s="16">
        <v>0</v>
      </c>
      <c r="S302" s="16">
        <v>1.36E-4</v>
      </c>
      <c r="T302" s="16">
        <v>1.36E-4</v>
      </c>
    </row>
    <row r="303" spans="1:20" ht="39.950000000000003" customHeight="1" x14ac:dyDescent="0.25">
      <c r="A303" s="17" t="s">
        <v>457</v>
      </c>
      <c r="B303" s="18" t="s">
        <v>893</v>
      </c>
      <c r="C303" s="313" t="s">
        <v>433</v>
      </c>
      <c r="D303" s="313">
        <v>17041</v>
      </c>
      <c r="E303" s="313" t="s">
        <v>923</v>
      </c>
      <c r="F303" s="16">
        <v>1.54</v>
      </c>
      <c r="G303" s="16">
        <v>1.92</v>
      </c>
      <c r="H303" s="16">
        <v>1.92</v>
      </c>
      <c r="I303" s="313" t="s">
        <v>924</v>
      </c>
      <c r="J303" s="16">
        <v>0</v>
      </c>
      <c r="K303" s="16">
        <v>1.8900000000000001E-4</v>
      </c>
      <c r="L303" s="16">
        <v>1.8900000000000001E-4</v>
      </c>
      <c r="M303" s="313" t="s">
        <v>921</v>
      </c>
      <c r="N303" s="16">
        <v>1.05</v>
      </c>
      <c r="O303" s="16">
        <v>1.180002</v>
      </c>
      <c r="P303" s="16">
        <v>1.180002</v>
      </c>
      <c r="Q303" s="313" t="s">
        <v>924</v>
      </c>
      <c r="R303" s="16">
        <v>0</v>
      </c>
      <c r="S303" s="16">
        <v>1.3899999999999999E-4</v>
      </c>
      <c r="T303" s="16">
        <v>1.3899999999999999E-4</v>
      </c>
    </row>
    <row r="304" spans="1:20" ht="39.950000000000003" customHeight="1" x14ac:dyDescent="0.25">
      <c r="A304" s="17" t="s">
        <v>305</v>
      </c>
      <c r="B304" s="18" t="s">
        <v>894</v>
      </c>
      <c r="C304" s="313" t="s">
        <v>433</v>
      </c>
      <c r="D304" s="313">
        <v>17041</v>
      </c>
      <c r="E304" s="313" t="s">
        <v>923</v>
      </c>
      <c r="F304" s="16">
        <v>1.1499999999999999</v>
      </c>
      <c r="G304" s="16">
        <v>1.43</v>
      </c>
      <c r="H304" s="16">
        <v>1.43</v>
      </c>
      <c r="I304" s="313" t="s">
        <v>924</v>
      </c>
      <c r="J304" s="16">
        <v>0</v>
      </c>
      <c r="K304" s="16">
        <v>1.92E-4</v>
      </c>
      <c r="L304" s="16">
        <v>1.92E-4</v>
      </c>
      <c r="M304" s="313" t="s">
        <v>920</v>
      </c>
      <c r="N304" s="16">
        <v>0.64</v>
      </c>
      <c r="O304" s="16">
        <v>0.72</v>
      </c>
      <c r="P304" s="16">
        <v>0.72</v>
      </c>
      <c r="Q304" s="313" t="s">
        <v>921</v>
      </c>
      <c r="R304" s="16">
        <v>0.248</v>
      </c>
      <c r="S304" s="16">
        <v>0.28900100000000001</v>
      </c>
      <c r="T304" s="16">
        <v>0.28900100000000001</v>
      </c>
    </row>
    <row r="305" spans="1:20" ht="39.950000000000003" customHeight="1" x14ac:dyDescent="0.25">
      <c r="A305" s="17" t="s">
        <v>384</v>
      </c>
      <c r="B305" s="18" t="s">
        <v>895</v>
      </c>
      <c r="C305" s="313" t="s">
        <v>433</v>
      </c>
      <c r="D305" s="313">
        <v>17041</v>
      </c>
      <c r="E305" s="313" t="s">
        <v>926</v>
      </c>
      <c r="F305" s="16">
        <v>0.78</v>
      </c>
      <c r="G305" s="16">
        <v>0.97</v>
      </c>
      <c r="H305" s="16">
        <v>0.97</v>
      </c>
      <c r="I305" s="313" t="s">
        <v>924</v>
      </c>
      <c r="J305" s="16">
        <v>0</v>
      </c>
      <c r="K305" s="16">
        <v>1.93E-4</v>
      </c>
      <c r="L305" s="16">
        <v>1.93E-4</v>
      </c>
      <c r="M305" s="313" t="s">
        <v>924</v>
      </c>
      <c r="N305" s="16">
        <v>0</v>
      </c>
      <c r="O305" s="16">
        <v>1.2300000000000001E-4</v>
      </c>
      <c r="P305" s="16">
        <v>1.2300000000000001E-4</v>
      </c>
      <c r="Q305" s="313" t="s">
        <v>924</v>
      </c>
      <c r="R305" s="16">
        <v>0</v>
      </c>
      <c r="S305" s="16">
        <v>1.4200000000000001E-4</v>
      </c>
      <c r="T305" s="16">
        <v>1.4200000000000001E-4</v>
      </c>
    </row>
    <row r="306" spans="1:20" ht="39.950000000000003" customHeight="1" x14ac:dyDescent="0.25">
      <c r="A306" s="313" t="s">
        <v>422</v>
      </c>
      <c r="B306" s="18" t="s">
        <v>896</v>
      </c>
      <c r="C306" s="313" t="s">
        <v>433</v>
      </c>
      <c r="D306" s="313">
        <v>17041</v>
      </c>
      <c r="E306" s="313" t="s">
        <v>926</v>
      </c>
      <c r="F306" s="16">
        <v>0.48</v>
      </c>
      <c r="G306" s="16">
        <v>0.6</v>
      </c>
      <c r="H306" s="16">
        <v>0.6</v>
      </c>
      <c r="I306" s="313" t="s">
        <v>924</v>
      </c>
      <c r="J306" s="16">
        <v>0</v>
      </c>
      <c r="K306" s="16">
        <v>1.94E-4</v>
      </c>
      <c r="L306" s="16">
        <v>1.94E-4</v>
      </c>
      <c r="M306" s="313" t="s">
        <v>924</v>
      </c>
      <c r="N306" s="16">
        <v>0</v>
      </c>
      <c r="O306" s="16">
        <v>1.2400000000000001E-4</v>
      </c>
      <c r="P306" s="16">
        <v>1.2400000000000001E-4</v>
      </c>
      <c r="Q306" s="313" t="s">
        <v>924</v>
      </c>
      <c r="R306" s="16">
        <v>0</v>
      </c>
      <c r="S306" s="16">
        <v>1.4300000000000001E-4</v>
      </c>
      <c r="T306" s="16">
        <v>1.4300000000000001E-4</v>
      </c>
    </row>
    <row r="307" spans="1:20" ht="39.950000000000003" customHeight="1" x14ac:dyDescent="0.25">
      <c r="A307" s="17" t="s">
        <v>256</v>
      </c>
      <c r="B307" s="18" t="s">
        <v>897</v>
      </c>
      <c r="C307" s="313" t="s">
        <v>433</v>
      </c>
      <c r="D307" s="313">
        <v>17041</v>
      </c>
      <c r="E307" s="313" t="s">
        <v>920</v>
      </c>
      <c r="F307" s="16">
        <v>2.56</v>
      </c>
      <c r="G307" s="16">
        <v>3.2</v>
      </c>
      <c r="H307" s="16">
        <v>3.2</v>
      </c>
      <c r="I307" s="313" t="s">
        <v>921</v>
      </c>
      <c r="J307" s="16">
        <v>2.11</v>
      </c>
      <c r="K307" s="16">
        <v>2.64</v>
      </c>
      <c r="L307" s="16">
        <v>2.64</v>
      </c>
      <c r="M307" s="313" t="s">
        <v>921</v>
      </c>
      <c r="N307" s="16">
        <v>1.24</v>
      </c>
      <c r="O307" s="16">
        <v>1.39</v>
      </c>
      <c r="P307" s="16">
        <v>1.39</v>
      </c>
      <c r="Q307" s="313" t="s">
        <v>922</v>
      </c>
      <c r="R307" s="16">
        <v>0.32600000000000001</v>
      </c>
      <c r="S307" s="16">
        <v>0.38</v>
      </c>
      <c r="T307" s="16">
        <v>0.38</v>
      </c>
    </row>
    <row r="308" spans="1:20" ht="39.950000000000003" customHeight="1" x14ac:dyDescent="0.25">
      <c r="A308" s="313" t="s">
        <v>898</v>
      </c>
      <c r="B308" s="18" t="s">
        <v>899</v>
      </c>
      <c r="C308" s="313" t="s">
        <v>433</v>
      </c>
      <c r="D308" s="313">
        <v>17041</v>
      </c>
      <c r="E308" s="313" t="s">
        <v>924</v>
      </c>
      <c r="F308" s="16">
        <v>0</v>
      </c>
      <c r="G308" s="16">
        <v>9.1000000000000003E-5</v>
      </c>
      <c r="H308" s="16">
        <v>9.1000000000000003E-5</v>
      </c>
      <c r="I308" s="313" t="s">
        <v>924</v>
      </c>
      <c r="J308" s="16">
        <v>0</v>
      </c>
      <c r="K308" s="16">
        <v>1.95E-4</v>
      </c>
      <c r="L308" s="16">
        <v>1.95E-4</v>
      </c>
      <c r="M308" s="313" t="s">
        <v>924</v>
      </c>
      <c r="N308" s="16">
        <v>0</v>
      </c>
      <c r="O308" s="16">
        <v>1.25E-4</v>
      </c>
      <c r="P308" s="16">
        <v>1.25E-4</v>
      </c>
      <c r="Q308" s="313" t="s">
        <v>924</v>
      </c>
      <c r="R308" s="16">
        <v>0</v>
      </c>
      <c r="S308" s="16">
        <v>1.44E-4</v>
      </c>
      <c r="T308" s="16">
        <v>1.44E-4</v>
      </c>
    </row>
    <row r="309" spans="1:20" ht="39.950000000000003" customHeight="1" x14ac:dyDescent="0.25">
      <c r="A309" s="313" t="s">
        <v>483</v>
      </c>
      <c r="B309" s="18" t="s">
        <v>900</v>
      </c>
      <c r="C309" s="313" t="s">
        <v>433</v>
      </c>
      <c r="D309" s="313">
        <v>17041</v>
      </c>
      <c r="E309" s="313" t="s">
        <v>924</v>
      </c>
      <c r="F309" s="16">
        <v>0</v>
      </c>
      <c r="G309" s="16">
        <v>9.2E-5</v>
      </c>
      <c r="H309" s="16">
        <v>9.2E-5</v>
      </c>
      <c r="I309" s="313" t="s">
        <v>924</v>
      </c>
      <c r="J309" s="16">
        <v>0</v>
      </c>
      <c r="K309" s="16">
        <v>1.9599999999999999E-4</v>
      </c>
      <c r="L309" s="16">
        <v>1.9599999999999999E-4</v>
      </c>
      <c r="M309" s="313" t="s">
        <v>924</v>
      </c>
      <c r="N309" s="16">
        <v>0</v>
      </c>
      <c r="O309" s="16">
        <v>1.26E-4</v>
      </c>
      <c r="P309" s="16">
        <v>1.26E-4</v>
      </c>
      <c r="Q309" s="313" t="s">
        <v>924</v>
      </c>
      <c r="R309" s="16">
        <v>0</v>
      </c>
      <c r="S309" s="16">
        <v>1.45E-4</v>
      </c>
      <c r="T309" s="16">
        <v>1.45E-4</v>
      </c>
    </row>
    <row r="310" spans="1:20" ht="39.950000000000003" customHeight="1" x14ac:dyDescent="0.25">
      <c r="A310" s="313" t="s">
        <v>901</v>
      </c>
      <c r="B310" s="18" t="s">
        <v>902</v>
      </c>
      <c r="C310" s="313" t="s">
        <v>433</v>
      </c>
      <c r="D310" s="313">
        <v>17041</v>
      </c>
      <c r="E310" s="313" t="s">
        <v>924</v>
      </c>
      <c r="F310" s="16">
        <v>0</v>
      </c>
      <c r="G310" s="16">
        <v>9.2999999999999997E-5</v>
      </c>
      <c r="H310" s="16">
        <v>9.2999999999999997E-5</v>
      </c>
      <c r="I310" s="313" t="s">
        <v>924</v>
      </c>
      <c r="J310" s="16">
        <v>0</v>
      </c>
      <c r="K310" s="16">
        <v>1.9699999999999999E-4</v>
      </c>
      <c r="L310" s="16">
        <v>1.9699999999999999E-4</v>
      </c>
      <c r="M310" s="313" t="s">
        <v>924</v>
      </c>
      <c r="N310" s="16">
        <v>0</v>
      </c>
      <c r="O310" s="16">
        <v>1.27E-4</v>
      </c>
      <c r="P310" s="16">
        <v>1.27E-4</v>
      </c>
      <c r="Q310" s="313" t="s">
        <v>924</v>
      </c>
      <c r="R310" s="16">
        <v>0</v>
      </c>
      <c r="S310" s="16">
        <v>1.46E-4</v>
      </c>
      <c r="T310" s="16">
        <v>1.46E-4</v>
      </c>
    </row>
    <row r="311" spans="1:20" ht="39.950000000000003" customHeight="1" x14ac:dyDescent="0.25">
      <c r="A311" s="17" t="s">
        <v>425</v>
      </c>
      <c r="B311" s="18" t="s">
        <v>903</v>
      </c>
      <c r="C311" s="313" t="s">
        <v>433</v>
      </c>
      <c r="D311" s="313">
        <v>17041</v>
      </c>
      <c r="E311" s="313" t="s">
        <v>923</v>
      </c>
      <c r="F311" s="16">
        <v>1.29</v>
      </c>
      <c r="G311" s="16">
        <v>1.62</v>
      </c>
      <c r="H311" s="16">
        <v>1.62</v>
      </c>
      <c r="I311" s="313" t="s">
        <v>924</v>
      </c>
      <c r="J311" s="16">
        <v>0</v>
      </c>
      <c r="K311" s="16">
        <v>2.1499999999999999E-4</v>
      </c>
      <c r="L311" s="16">
        <v>2.1499999999999999E-4</v>
      </c>
      <c r="M311" s="313" t="s">
        <v>924</v>
      </c>
      <c r="N311" s="16">
        <v>0</v>
      </c>
      <c r="O311" s="16">
        <v>1.4200000000000001E-4</v>
      </c>
      <c r="P311" s="16">
        <v>1.4200000000000001E-4</v>
      </c>
      <c r="Q311" s="313" t="s">
        <v>924</v>
      </c>
      <c r="R311" s="16">
        <v>0</v>
      </c>
      <c r="S311" s="16">
        <v>1.6000000000000001E-4</v>
      </c>
      <c r="T311" s="16">
        <v>1.6000000000000001E-4</v>
      </c>
    </row>
    <row r="312" spans="1:20" ht="39.950000000000003" customHeight="1" x14ac:dyDescent="0.25">
      <c r="A312" s="313" t="s">
        <v>484</v>
      </c>
      <c r="B312" s="18" t="s">
        <v>904</v>
      </c>
      <c r="C312" s="313" t="s">
        <v>433</v>
      </c>
      <c r="D312" s="313">
        <v>17041</v>
      </c>
      <c r="E312" s="313" t="s">
        <v>924</v>
      </c>
      <c r="F312" s="16">
        <v>0</v>
      </c>
      <c r="G312" s="16">
        <v>1.05E-4</v>
      </c>
      <c r="H312" s="16">
        <v>1.05E-4</v>
      </c>
      <c r="I312" s="313" t="s">
        <v>924</v>
      </c>
      <c r="J312" s="16">
        <v>0</v>
      </c>
      <c r="K312" s="16">
        <v>2.1599999999999999E-4</v>
      </c>
      <c r="L312" s="16">
        <v>2.1599999999999999E-4</v>
      </c>
      <c r="M312" s="313" t="s">
        <v>924</v>
      </c>
      <c r="N312" s="16">
        <v>0</v>
      </c>
      <c r="O312" s="16">
        <v>1.4300000000000001E-4</v>
      </c>
      <c r="P312" s="16">
        <v>1.4300000000000001E-4</v>
      </c>
      <c r="Q312" s="313" t="s">
        <v>924</v>
      </c>
      <c r="R312" s="16">
        <v>0</v>
      </c>
      <c r="S312" s="16">
        <v>1.6100000000000001E-4</v>
      </c>
      <c r="T312" s="16">
        <v>1.6100000000000001E-4</v>
      </c>
    </row>
    <row r="313" spans="1:20" ht="39.950000000000003" customHeight="1" x14ac:dyDescent="0.25">
      <c r="A313" s="313" t="s">
        <v>542</v>
      </c>
      <c r="B313" s="18" t="s">
        <v>905</v>
      </c>
      <c r="C313" s="313" t="s">
        <v>433</v>
      </c>
      <c r="D313" s="313">
        <v>17041</v>
      </c>
      <c r="E313" s="313" t="s">
        <v>924</v>
      </c>
      <c r="F313" s="16">
        <v>0</v>
      </c>
      <c r="G313" s="16">
        <v>1.06E-4</v>
      </c>
      <c r="H313" s="16">
        <v>1.06E-4</v>
      </c>
      <c r="I313" s="313" t="s">
        <v>924</v>
      </c>
      <c r="J313" s="16">
        <v>0</v>
      </c>
      <c r="K313" s="16">
        <v>2.1699999999999999E-4</v>
      </c>
      <c r="L313" s="16">
        <v>2.1699999999999999E-4</v>
      </c>
      <c r="M313" s="313" t="s">
        <v>924</v>
      </c>
      <c r="N313" s="16">
        <v>0</v>
      </c>
      <c r="O313" s="16">
        <v>1.44E-4</v>
      </c>
      <c r="P313" s="16">
        <v>1.44E-4</v>
      </c>
      <c r="Q313" s="313" t="s">
        <v>924</v>
      </c>
      <c r="R313" s="16">
        <v>0</v>
      </c>
      <c r="S313" s="16">
        <v>1.6200000000000001E-4</v>
      </c>
      <c r="T313" s="16">
        <v>1.6200000000000001E-4</v>
      </c>
    </row>
    <row r="314" spans="1:20" ht="39.950000000000003" customHeight="1" x14ac:dyDescent="0.25">
      <c r="A314" s="17" t="s">
        <v>543</v>
      </c>
      <c r="B314" s="18" t="s">
        <v>906</v>
      </c>
      <c r="C314" s="313" t="s">
        <v>433</v>
      </c>
      <c r="D314" s="313">
        <v>17041</v>
      </c>
      <c r="E314" s="313" t="s">
        <v>924</v>
      </c>
      <c r="F314" s="16">
        <v>0</v>
      </c>
      <c r="G314" s="16">
        <v>1.07E-4</v>
      </c>
      <c r="H314" s="16">
        <v>1.07E-4</v>
      </c>
      <c r="I314" s="313" t="s">
        <v>924</v>
      </c>
      <c r="J314" s="16">
        <v>0</v>
      </c>
      <c r="K314" s="16">
        <v>2.2100000000000001E-4</v>
      </c>
      <c r="L314" s="16">
        <v>2.2100000000000001E-4</v>
      </c>
      <c r="M314" s="313" t="s">
        <v>924</v>
      </c>
      <c r="N314" s="16">
        <v>0</v>
      </c>
      <c r="O314" s="16">
        <v>1.46E-4</v>
      </c>
      <c r="P314" s="16">
        <v>1.46E-4</v>
      </c>
      <c r="Q314" s="313" t="s">
        <v>924</v>
      </c>
      <c r="R314" s="16">
        <v>0</v>
      </c>
      <c r="S314" s="16">
        <v>1.66E-4</v>
      </c>
      <c r="T314" s="16">
        <v>1.66E-4</v>
      </c>
    </row>
    <row r="315" spans="1:20" ht="39.950000000000003" customHeight="1" x14ac:dyDescent="0.25">
      <c r="A315" s="17" t="s">
        <v>428</v>
      </c>
      <c r="B315" s="18" t="s">
        <v>907</v>
      </c>
      <c r="C315" s="313" t="s">
        <v>433</v>
      </c>
      <c r="D315" s="313">
        <v>17041</v>
      </c>
      <c r="E315" s="313" t="s">
        <v>924</v>
      </c>
      <c r="F315" s="16">
        <v>0</v>
      </c>
      <c r="G315" s="16">
        <v>1.12E-4</v>
      </c>
      <c r="H315" s="16">
        <v>1.12E-4</v>
      </c>
      <c r="I315" s="313" t="s">
        <v>924</v>
      </c>
      <c r="J315" s="16">
        <v>0</v>
      </c>
      <c r="K315" s="16">
        <v>2.2800000000000001E-4</v>
      </c>
      <c r="L315" s="16">
        <v>2.2800000000000001E-4</v>
      </c>
      <c r="M315" s="313" t="s">
        <v>924</v>
      </c>
      <c r="N315" s="16">
        <v>0</v>
      </c>
      <c r="O315" s="16">
        <v>1.5200000000000001E-4</v>
      </c>
      <c r="P315" s="16">
        <v>1.5200000000000001E-4</v>
      </c>
      <c r="Q315" s="313" t="s">
        <v>924</v>
      </c>
      <c r="R315" s="16">
        <v>0</v>
      </c>
      <c r="S315" s="16">
        <v>1.7200000000000001E-4</v>
      </c>
      <c r="T315" s="16">
        <v>1.7200000000000001E-4</v>
      </c>
    </row>
    <row r="316" spans="1:20" ht="39.950000000000003" customHeight="1" x14ac:dyDescent="0.25">
      <c r="A316" s="17" t="s">
        <v>544</v>
      </c>
      <c r="B316" s="18" t="s">
        <v>908</v>
      </c>
      <c r="C316" s="313" t="s">
        <v>433</v>
      </c>
      <c r="D316" s="313">
        <v>17041</v>
      </c>
      <c r="E316" s="313" t="s">
        <v>924</v>
      </c>
      <c r="F316" s="16">
        <v>0</v>
      </c>
      <c r="G316" s="16">
        <v>1.17E-4</v>
      </c>
      <c r="H316" s="16">
        <v>1.17E-4</v>
      </c>
      <c r="I316" s="313" t="s">
        <v>924</v>
      </c>
      <c r="J316" s="16">
        <v>0</v>
      </c>
      <c r="K316" s="16">
        <v>2.4000000000000001E-4</v>
      </c>
      <c r="L316" s="16">
        <v>2.4000000000000001E-4</v>
      </c>
      <c r="M316" s="313" t="s">
        <v>924</v>
      </c>
      <c r="N316" s="16">
        <v>0</v>
      </c>
      <c r="O316" s="16">
        <v>1.5899999999999999E-4</v>
      </c>
      <c r="P316" s="16">
        <v>1.5899999999999999E-4</v>
      </c>
      <c r="Q316" s="313" t="s">
        <v>924</v>
      </c>
      <c r="R316" s="16">
        <v>0</v>
      </c>
      <c r="S316" s="16">
        <v>1.8200000000000001E-4</v>
      </c>
      <c r="T316" s="16">
        <v>1.8200000000000001E-4</v>
      </c>
    </row>
    <row r="317" spans="1:20" ht="39.950000000000003" customHeight="1" x14ac:dyDescent="0.25">
      <c r="A317" s="17" t="s">
        <v>281</v>
      </c>
      <c r="B317" s="18" t="s">
        <v>909</v>
      </c>
      <c r="C317" s="313" t="s">
        <v>433</v>
      </c>
      <c r="D317" s="313">
        <v>17041</v>
      </c>
      <c r="E317" s="313" t="s">
        <v>923</v>
      </c>
      <c r="F317" s="16">
        <v>1.24</v>
      </c>
      <c r="G317" s="16">
        <v>1.55</v>
      </c>
      <c r="H317" s="16">
        <v>1.55</v>
      </c>
      <c r="I317" s="313" t="s">
        <v>921</v>
      </c>
      <c r="J317" s="16">
        <v>1.52</v>
      </c>
      <c r="K317" s="16">
        <v>1.9</v>
      </c>
      <c r="L317" s="16">
        <v>1.9</v>
      </c>
      <c r="M317" s="313" t="s">
        <v>921</v>
      </c>
      <c r="N317" s="16">
        <v>1.05</v>
      </c>
      <c r="O317" s="16">
        <v>1.18</v>
      </c>
      <c r="P317" s="16">
        <v>1.18</v>
      </c>
      <c r="Q317" s="313" t="s">
        <v>924</v>
      </c>
      <c r="R317" s="16">
        <v>0</v>
      </c>
      <c r="S317" s="16">
        <v>1.8599999999999999E-4</v>
      </c>
      <c r="T317" s="16">
        <v>1.8599999999999999E-4</v>
      </c>
    </row>
    <row r="318" spans="1:20" ht="39.950000000000003" customHeight="1" x14ac:dyDescent="0.25">
      <c r="A318" s="17"/>
      <c r="B318" s="18"/>
      <c r="C318" s="313"/>
      <c r="D318" s="313"/>
      <c r="E318" s="313" t="s">
        <v>202</v>
      </c>
      <c r="F318" s="16" t="s">
        <v>202</v>
      </c>
      <c r="G318" s="16" t="s">
        <v>202</v>
      </c>
      <c r="H318" s="16" t="s">
        <v>202</v>
      </c>
      <c r="I318" s="313" t="s">
        <v>202</v>
      </c>
      <c r="J318" s="16" t="s">
        <v>202</v>
      </c>
      <c r="K318" s="16" t="s">
        <v>202</v>
      </c>
      <c r="L318" s="16" t="s">
        <v>202</v>
      </c>
      <c r="M318" s="313" t="s">
        <v>202</v>
      </c>
      <c r="N318" s="16" t="s">
        <v>202</v>
      </c>
      <c r="O318" s="16" t="s">
        <v>202</v>
      </c>
      <c r="P318" s="16" t="s">
        <v>202</v>
      </c>
      <c r="Q318" s="313" t="s">
        <v>202</v>
      </c>
      <c r="R318" s="16" t="s">
        <v>202</v>
      </c>
      <c r="S318" s="16" t="s">
        <v>202</v>
      </c>
      <c r="T318" s="16" t="s">
        <v>202</v>
      </c>
    </row>
    <row r="319" spans="1:20" ht="39.950000000000003" customHeight="1" x14ac:dyDescent="0.25">
      <c r="A319" s="17"/>
      <c r="B319" s="18"/>
      <c r="C319" s="313"/>
      <c r="D319" s="313"/>
      <c r="E319" s="313" t="s">
        <v>202</v>
      </c>
      <c r="F319" s="16" t="s">
        <v>202</v>
      </c>
      <c r="G319" s="16" t="s">
        <v>202</v>
      </c>
      <c r="H319" s="16" t="s">
        <v>202</v>
      </c>
      <c r="I319" s="313" t="s">
        <v>202</v>
      </c>
      <c r="J319" s="16" t="s">
        <v>202</v>
      </c>
      <c r="K319" s="16" t="s">
        <v>202</v>
      </c>
      <c r="L319" s="16" t="s">
        <v>202</v>
      </c>
      <c r="M319" s="313" t="s">
        <v>202</v>
      </c>
      <c r="N319" s="16" t="s">
        <v>202</v>
      </c>
      <c r="O319" s="16" t="s">
        <v>202</v>
      </c>
      <c r="P319" s="16" t="s">
        <v>202</v>
      </c>
      <c r="Q319" s="313" t="s">
        <v>202</v>
      </c>
      <c r="R319" s="16" t="s">
        <v>202</v>
      </c>
      <c r="S319" s="16" t="s">
        <v>202</v>
      </c>
      <c r="T319" s="16" t="s">
        <v>202</v>
      </c>
    </row>
    <row r="320" spans="1:20" ht="39.950000000000003" customHeight="1" x14ac:dyDescent="0.25">
      <c r="A320" s="17"/>
      <c r="B320" s="18"/>
      <c r="C320" s="313"/>
      <c r="D320" s="313"/>
      <c r="E320" s="313" t="s">
        <v>202</v>
      </c>
      <c r="F320" s="16" t="s">
        <v>202</v>
      </c>
      <c r="G320" s="16" t="s">
        <v>202</v>
      </c>
      <c r="H320" s="16" t="s">
        <v>202</v>
      </c>
      <c r="I320" s="313" t="s">
        <v>202</v>
      </c>
      <c r="J320" s="16" t="s">
        <v>202</v>
      </c>
      <c r="K320" s="16" t="s">
        <v>202</v>
      </c>
      <c r="L320" s="16" t="s">
        <v>202</v>
      </c>
      <c r="M320" s="313" t="s">
        <v>202</v>
      </c>
      <c r="N320" s="16" t="s">
        <v>202</v>
      </c>
      <c r="O320" s="16" t="s">
        <v>202</v>
      </c>
      <c r="P320" s="16" t="s">
        <v>202</v>
      </c>
      <c r="Q320" s="313" t="s">
        <v>202</v>
      </c>
      <c r="R320" s="16" t="s">
        <v>202</v>
      </c>
      <c r="S320" s="16" t="s">
        <v>202</v>
      </c>
      <c r="T320" s="16" t="s">
        <v>202</v>
      </c>
    </row>
    <row r="321" spans="1:20" ht="39.950000000000003" customHeight="1" x14ac:dyDescent="0.25">
      <c r="A321" s="17"/>
      <c r="B321" s="18"/>
      <c r="C321" s="313"/>
      <c r="D321" s="313"/>
      <c r="E321" s="313" t="s">
        <v>202</v>
      </c>
      <c r="F321" s="16" t="s">
        <v>202</v>
      </c>
      <c r="G321" s="16" t="s">
        <v>202</v>
      </c>
      <c r="H321" s="16" t="s">
        <v>202</v>
      </c>
      <c r="I321" s="313" t="s">
        <v>202</v>
      </c>
      <c r="J321" s="16" t="s">
        <v>202</v>
      </c>
      <c r="K321" s="16" t="s">
        <v>202</v>
      </c>
      <c r="L321" s="16" t="s">
        <v>202</v>
      </c>
      <c r="M321" s="313" t="s">
        <v>202</v>
      </c>
      <c r="N321" s="16" t="s">
        <v>202</v>
      </c>
      <c r="O321" s="16" t="s">
        <v>202</v>
      </c>
      <c r="P321" s="16" t="s">
        <v>202</v>
      </c>
      <c r="Q321" s="313" t="s">
        <v>202</v>
      </c>
      <c r="R321" s="16" t="s">
        <v>202</v>
      </c>
      <c r="S321" s="16" t="s">
        <v>202</v>
      </c>
      <c r="T321" s="16" t="s">
        <v>202</v>
      </c>
    </row>
    <row r="322" spans="1:20" ht="39.950000000000003" customHeight="1" x14ac:dyDescent="0.25">
      <c r="A322" s="17"/>
      <c r="B322" s="18"/>
      <c r="C322" s="313"/>
      <c r="D322" s="313"/>
      <c r="E322" s="313" t="s">
        <v>202</v>
      </c>
      <c r="F322" s="16" t="s">
        <v>202</v>
      </c>
      <c r="G322" s="16" t="s">
        <v>202</v>
      </c>
      <c r="H322" s="16" t="s">
        <v>202</v>
      </c>
      <c r="I322" s="313" t="s">
        <v>202</v>
      </c>
      <c r="J322" s="16" t="s">
        <v>202</v>
      </c>
      <c r="K322" s="16" t="s">
        <v>202</v>
      </c>
      <c r="L322" s="16" t="s">
        <v>202</v>
      </c>
      <c r="M322" s="313" t="s">
        <v>202</v>
      </c>
      <c r="N322" s="16" t="s">
        <v>202</v>
      </c>
      <c r="O322" s="16" t="s">
        <v>202</v>
      </c>
      <c r="P322" s="16" t="s">
        <v>202</v>
      </c>
      <c r="Q322" s="313" t="s">
        <v>202</v>
      </c>
      <c r="R322" s="16" t="s">
        <v>202</v>
      </c>
      <c r="S322" s="16" t="s">
        <v>202</v>
      </c>
      <c r="T322" s="16" t="s">
        <v>202</v>
      </c>
    </row>
    <row r="323" spans="1:20" ht="39.950000000000003" customHeight="1" x14ac:dyDescent="0.25">
      <c r="A323" s="17"/>
      <c r="B323" s="18"/>
      <c r="C323" s="313"/>
      <c r="D323" s="313"/>
      <c r="E323" s="313" t="s">
        <v>202</v>
      </c>
      <c r="F323" s="16" t="s">
        <v>202</v>
      </c>
      <c r="G323" s="16" t="s">
        <v>202</v>
      </c>
      <c r="H323" s="16" t="s">
        <v>202</v>
      </c>
      <c r="I323" s="313" t="s">
        <v>202</v>
      </c>
      <c r="J323" s="16" t="s">
        <v>202</v>
      </c>
      <c r="K323" s="16" t="s">
        <v>202</v>
      </c>
      <c r="L323" s="16" t="s">
        <v>202</v>
      </c>
      <c r="M323" s="313" t="s">
        <v>202</v>
      </c>
      <c r="N323" s="16" t="s">
        <v>202</v>
      </c>
      <c r="O323" s="16" t="s">
        <v>202</v>
      </c>
      <c r="P323" s="16" t="s">
        <v>202</v>
      </c>
      <c r="Q323" s="313" t="s">
        <v>202</v>
      </c>
      <c r="R323" s="16" t="s">
        <v>202</v>
      </c>
      <c r="S323" s="16" t="s">
        <v>202</v>
      </c>
      <c r="T323" s="16" t="s">
        <v>202</v>
      </c>
    </row>
    <row r="324" spans="1:20" ht="39.950000000000003" customHeight="1" x14ac:dyDescent="0.25">
      <c r="A324" s="17"/>
      <c r="B324" s="18"/>
      <c r="C324" s="313"/>
      <c r="D324" s="313"/>
      <c r="E324" s="313" t="s">
        <v>202</v>
      </c>
      <c r="F324" s="16" t="s">
        <v>202</v>
      </c>
      <c r="G324" s="16" t="s">
        <v>202</v>
      </c>
      <c r="H324" s="16" t="s">
        <v>202</v>
      </c>
      <c r="I324" s="313" t="s">
        <v>202</v>
      </c>
      <c r="J324" s="16" t="s">
        <v>202</v>
      </c>
      <c r="K324" s="16" t="s">
        <v>202</v>
      </c>
      <c r="L324" s="16" t="s">
        <v>202</v>
      </c>
      <c r="M324" s="313" t="s">
        <v>202</v>
      </c>
      <c r="N324" s="16" t="s">
        <v>202</v>
      </c>
      <c r="O324" s="16" t="s">
        <v>202</v>
      </c>
      <c r="P324" s="16" t="s">
        <v>202</v>
      </c>
      <c r="Q324" s="313" t="s">
        <v>202</v>
      </c>
      <c r="R324" s="16" t="s">
        <v>202</v>
      </c>
      <c r="S324" s="16" t="s">
        <v>202</v>
      </c>
      <c r="T324" s="16" t="s">
        <v>202</v>
      </c>
    </row>
    <row r="325" spans="1:20" ht="39.950000000000003" customHeight="1" x14ac:dyDescent="0.25">
      <c r="A325" s="17"/>
      <c r="B325" s="18"/>
      <c r="C325" s="313"/>
      <c r="D325" s="313"/>
      <c r="E325" s="313" t="s">
        <v>202</v>
      </c>
      <c r="F325" s="16" t="s">
        <v>202</v>
      </c>
      <c r="G325" s="16" t="s">
        <v>202</v>
      </c>
      <c r="H325" s="16" t="s">
        <v>202</v>
      </c>
      <c r="I325" s="313" t="s">
        <v>202</v>
      </c>
      <c r="J325" s="16" t="s">
        <v>202</v>
      </c>
      <c r="K325" s="16" t="s">
        <v>202</v>
      </c>
      <c r="L325" s="16" t="s">
        <v>202</v>
      </c>
      <c r="M325" s="313" t="s">
        <v>202</v>
      </c>
      <c r="N325" s="16" t="s">
        <v>202</v>
      </c>
      <c r="O325" s="16" t="s">
        <v>202</v>
      </c>
      <c r="P325" s="16" t="s">
        <v>202</v>
      </c>
      <c r="Q325" s="313" t="s">
        <v>202</v>
      </c>
      <c r="R325" s="16" t="s">
        <v>202</v>
      </c>
      <c r="S325" s="16" t="s">
        <v>202</v>
      </c>
      <c r="T325" s="16" t="s">
        <v>202</v>
      </c>
    </row>
    <row r="326" spans="1:20" ht="39.950000000000003" customHeight="1" x14ac:dyDescent="0.25">
      <c r="A326" s="17"/>
      <c r="B326" s="18"/>
      <c r="C326" s="313"/>
      <c r="D326" s="313"/>
      <c r="E326" s="313" t="s">
        <v>202</v>
      </c>
      <c r="F326" s="16" t="s">
        <v>202</v>
      </c>
      <c r="G326" s="16" t="s">
        <v>202</v>
      </c>
      <c r="H326" s="16" t="s">
        <v>202</v>
      </c>
      <c r="I326" s="313" t="s">
        <v>202</v>
      </c>
      <c r="J326" s="16" t="s">
        <v>202</v>
      </c>
      <c r="K326" s="16" t="s">
        <v>202</v>
      </c>
      <c r="L326" s="16" t="s">
        <v>202</v>
      </c>
      <c r="M326" s="313" t="s">
        <v>202</v>
      </c>
      <c r="N326" s="16" t="s">
        <v>202</v>
      </c>
      <c r="O326" s="16" t="s">
        <v>202</v>
      </c>
      <c r="P326" s="16" t="s">
        <v>202</v>
      </c>
      <c r="Q326" s="313" t="s">
        <v>202</v>
      </c>
      <c r="R326" s="16" t="s">
        <v>202</v>
      </c>
      <c r="S326" s="16" t="s">
        <v>202</v>
      </c>
      <c r="T326" s="16" t="s">
        <v>202</v>
      </c>
    </row>
    <row r="327" spans="1:20" ht="39.950000000000003" customHeight="1" x14ac:dyDescent="0.25">
      <c r="A327" s="17"/>
      <c r="B327" s="18"/>
      <c r="C327" s="313"/>
      <c r="D327" s="313"/>
      <c r="E327" s="313" t="s">
        <v>202</v>
      </c>
      <c r="F327" s="16" t="s">
        <v>202</v>
      </c>
      <c r="G327" s="16" t="s">
        <v>202</v>
      </c>
      <c r="H327" s="16" t="s">
        <v>202</v>
      </c>
      <c r="I327" s="313" t="s">
        <v>202</v>
      </c>
      <c r="J327" s="16" t="s">
        <v>202</v>
      </c>
      <c r="K327" s="16" t="s">
        <v>202</v>
      </c>
      <c r="L327" s="16" t="s">
        <v>202</v>
      </c>
      <c r="M327" s="313" t="s">
        <v>202</v>
      </c>
      <c r="N327" s="16" t="s">
        <v>202</v>
      </c>
      <c r="O327" s="16" t="s">
        <v>202</v>
      </c>
      <c r="P327" s="16" t="s">
        <v>202</v>
      </c>
      <c r="Q327" s="313" t="s">
        <v>202</v>
      </c>
      <c r="R327" s="16" t="s">
        <v>202</v>
      </c>
      <c r="S327" s="16" t="s">
        <v>202</v>
      </c>
      <c r="T327" s="16" t="s">
        <v>202</v>
      </c>
    </row>
    <row r="328" spans="1:20" ht="39.950000000000003" customHeight="1" x14ac:dyDescent="0.25">
      <c r="A328" s="17"/>
      <c r="B328" s="18"/>
      <c r="C328" s="313"/>
      <c r="D328" s="313"/>
      <c r="E328" s="313" t="s">
        <v>202</v>
      </c>
      <c r="F328" s="16" t="s">
        <v>202</v>
      </c>
      <c r="G328" s="16" t="s">
        <v>202</v>
      </c>
      <c r="H328" s="16" t="s">
        <v>202</v>
      </c>
      <c r="I328" s="313" t="s">
        <v>202</v>
      </c>
      <c r="J328" s="16" t="s">
        <v>202</v>
      </c>
      <c r="K328" s="16" t="s">
        <v>202</v>
      </c>
      <c r="L328" s="16" t="s">
        <v>202</v>
      </c>
      <c r="M328" s="313" t="s">
        <v>202</v>
      </c>
      <c r="N328" s="16" t="s">
        <v>202</v>
      </c>
      <c r="O328" s="16" t="s">
        <v>202</v>
      </c>
      <c r="P328" s="16" t="s">
        <v>202</v>
      </c>
      <c r="Q328" s="313" t="s">
        <v>202</v>
      </c>
      <c r="R328" s="16" t="s">
        <v>202</v>
      </c>
      <c r="S328" s="16" t="s">
        <v>202</v>
      </c>
      <c r="T328" s="16" t="s">
        <v>202</v>
      </c>
    </row>
    <row r="329" spans="1:20" ht="39.950000000000003" customHeight="1" x14ac:dyDescent="0.25">
      <c r="A329" s="17"/>
      <c r="B329" s="18"/>
      <c r="C329" s="313"/>
      <c r="D329" s="313"/>
      <c r="E329" s="313" t="s">
        <v>202</v>
      </c>
      <c r="F329" s="16" t="s">
        <v>202</v>
      </c>
      <c r="G329" s="16" t="s">
        <v>202</v>
      </c>
      <c r="H329" s="16" t="s">
        <v>202</v>
      </c>
      <c r="I329" s="313" t="s">
        <v>202</v>
      </c>
      <c r="J329" s="16" t="s">
        <v>202</v>
      </c>
      <c r="K329" s="16" t="s">
        <v>202</v>
      </c>
      <c r="L329" s="16" t="s">
        <v>202</v>
      </c>
      <c r="M329" s="313" t="s">
        <v>202</v>
      </c>
      <c r="N329" s="16" t="s">
        <v>202</v>
      </c>
      <c r="O329" s="16" t="s">
        <v>202</v>
      </c>
      <c r="P329" s="16" t="s">
        <v>202</v>
      </c>
      <c r="Q329" s="313" t="s">
        <v>202</v>
      </c>
      <c r="R329" s="16" t="s">
        <v>202</v>
      </c>
      <c r="S329" s="16" t="s">
        <v>202</v>
      </c>
      <c r="T329" s="16" t="s">
        <v>202</v>
      </c>
    </row>
    <row r="330" spans="1:20" ht="39.950000000000003" customHeight="1" x14ac:dyDescent="0.25">
      <c r="A330" s="17"/>
      <c r="B330" s="18"/>
      <c r="C330" s="313"/>
      <c r="D330" s="313"/>
      <c r="E330" s="313" t="s">
        <v>202</v>
      </c>
      <c r="F330" s="16" t="s">
        <v>202</v>
      </c>
      <c r="G330" s="16" t="s">
        <v>202</v>
      </c>
      <c r="H330" s="16" t="s">
        <v>202</v>
      </c>
      <c r="I330" s="313" t="s">
        <v>202</v>
      </c>
      <c r="J330" s="16" t="s">
        <v>202</v>
      </c>
      <c r="K330" s="16" t="s">
        <v>202</v>
      </c>
      <c r="L330" s="16" t="s">
        <v>202</v>
      </c>
      <c r="M330" s="313" t="s">
        <v>202</v>
      </c>
      <c r="N330" s="16" t="s">
        <v>202</v>
      </c>
      <c r="O330" s="16" t="s">
        <v>202</v>
      </c>
      <c r="P330" s="16" t="s">
        <v>202</v>
      </c>
      <c r="Q330" s="313" t="s">
        <v>202</v>
      </c>
      <c r="R330" s="16" t="s">
        <v>202</v>
      </c>
      <c r="S330" s="16" t="s">
        <v>202</v>
      </c>
      <c r="T330" s="16" t="s">
        <v>202</v>
      </c>
    </row>
    <row r="331" spans="1:20" ht="39.950000000000003" customHeight="1" x14ac:dyDescent="0.25">
      <c r="A331" s="17"/>
      <c r="B331" s="18"/>
      <c r="C331" s="313"/>
      <c r="D331" s="313"/>
      <c r="E331" s="313" t="s">
        <v>202</v>
      </c>
      <c r="F331" s="16" t="s">
        <v>202</v>
      </c>
      <c r="G331" s="16" t="s">
        <v>202</v>
      </c>
      <c r="H331" s="16" t="s">
        <v>202</v>
      </c>
      <c r="I331" s="313" t="s">
        <v>202</v>
      </c>
      <c r="J331" s="16" t="s">
        <v>202</v>
      </c>
      <c r="K331" s="16" t="s">
        <v>202</v>
      </c>
      <c r="L331" s="16" t="s">
        <v>202</v>
      </c>
      <c r="M331" s="313" t="s">
        <v>202</v>
      </c>
      <c r="N331" s="16" t="s">
        <v>202</v>
      </c>
      <c r="O331" s="16" t="s">
        <v>202</v>
      </c>
      <c r="P331" s="16" t="s">
        <v>202</v>
      </c>
      <c r="Q331" s="313" t="s">
        <v>202</v>
      </c>
      <c r="R331" s="16" t="s">
        <v>202</v>
      </c>
      <c r="S331" s="16" t="s">
        <v>202</v>
      </c>
      <c r="T331" s="16" t="s">
        <v>202</v>
      </c>
    </row>
    <row r="332" spans="1:20" ht="39.950000000000003" customHeight="1" x14ac:dyDescent="0.25">
      <c r="A332" s="17"/>
      <c r="B332" s="18"/>
      <c r="C332" s="313"/>
      <c r="D332" s="313"/>
      <c r="E332" s="313" t="s">
        <v>202</v>
      </c>
      <c r="F332" s="16" t="s">
        <v>202</v>
      </c>
      <c r="G332" s="16" t="s">
        <v>202</v>
      </c>
      <c r="H332" s="16" t="s">
        <v>202</v>
      </c>
      <c r="I332" s="313" t="s">
        <v>202</v>
      </c>
      <c r="J332" s="16" t="s">
        <v>202</v>
      </c>
      <c r="K332" s="16" t="s">
        <v>202</v>
      </c>
      <c r="L332" s="16" t="s">
        <v>202</v>
      </c>
      <c r="M332" s="313" t="s">
        <v>202</v>
      </c>
      <c r="N332" s="16" t="s">
        <v>202</v>
      </c>
      <c r="O332" s="16" t="s">
        <v>202</v>
      </c>
      <c r="P332" s="16" t="s">
        <v>202</v>
      </c>
      <c r="Q332" s="313" t="s">
        <v>202</v>
      </c>
      <c r="R332" s="16" t="s">
        <v>202</v>
      </c>
      <c r="S332" s="16" t="s">
        <v>202</v>
      </c>
      <c r="T332" s="16" t="s">
        <v>202</v>
      </c>
    </row>
    <row r="333" spans="1:20" ht="39.950000000000003" customHeight="1" x14ac:dyDescent="0.25">
      <c r="A333" s="17"/>
      <c r="B333" s="18"/>
      <c r="C333" s="313"/>
      <c r="D333" s="313"/>
      <c r="E333" s="313" t="s">
        <v>202</v>
      </c>
      <c r="F333" s="16" t="s">
        <v>202</v>
      </c>
      <c r="G333" s="16" t="s">
        <v>202</v>
      </c>
      <c r="H333" s="16" t="s">
        <v>202</v>
      </c>
      <c r="I333" s="313" t="s">
        <v>202</v>
      </c>
      <c r="J333" s="16" t="s">
        <v>202</v>
      </c>
      <c r="K333" s="16" t="s">
        <v>202</v>
      </c>
      <c r="L333" s="16" t="s">
        <v>202</v>
      </c>
      <c r="M333" s="313" t="s">
        <v>202</v>
      </c>
      <c r="N333" s="16" t="s">
        <v>202</v>
      </c>
      <c r="O333" s="16" t="s">
        <v>202</v>
      </c>
      <c r="P333" s="16" t="s">
        <v>202</v>
      </c>
      <c r="Q333" s="313" t="s">
        <v>202</v>
      </c>
      <c r="R333" s="16" t="s">
        <v>202</v>
      </c>
      <c r="S333" s="16" t="s">
        <v>202</v>
      </c>
      <c r="T333" s="16" t="s">
        <v>202</v>
      </c>
    </row>
    <row r="334" spans="1:20" ht="39.950000000000003" customHeight="1" x14ac:dyDescent="0.25">
      <c r="A334" s="17"/>
      <c r="B334" s="18"/>
      <c r="C334" s="313"/>
      <c r="D334" s="313"/>
      <c r="E334" s="313" t="s">
        <v>202</v>
      </c>
      <c r="F334" s="16" t="s">
        <v>202</v>
      </c>
      <c r="G334" s="16" t="s">
        <v>202</v>
      </c>
      <c r="H334" s="16" t="s">
        <v>202</v>
      </c>
      <c r="I334" s="313" t="s">
        <v>202</v>
      </c>
      <c r="J334" s="16" t="s">
        <v>202</v>
      </c>
      <c r="K334" s="16" t="s">
        <v>202</v>
      </c>
      <c r="L334" s="16" t="s">
        <v>202</v>
      </c>
      <c r="M334" s="313" t="s">
        <v>202</v>
      </c>
      <c r="N334" s="16" t="s">
        <v>202</v>
      </c>
      <c r="O334" s="16" t="s">
        <v>202</v>
      </c>
      <c r="P334" s="16" t="s">
        <v>202</v>
      </c>
      <c r="Q334" s="313" t="s">
        <v>202</v>
      </c>
      <c r="R334" s="16" t="s">
        <v>202</v>
      </c>
      <c r="S334" s="16" t="s">
        <v>202</v>
      </c>
      <c r="T334" s="16" t="s">
        <v>202</v>
      </c>
    </row>
    <row r="335" spans="1:20" ht="39.950000000000003" customHeight="1" x14ac:dyDescent="0.25">
      <c r="A335" s="17"/>
      <c r="B335" s="18"/>
      <c r="C335" s="313"/>
      <c r="D335" s="313"/>
      <c r="E335" s="313" t="s">
        <v>202</v>
      </c>
      <c r="F335" s="16" t="s">
        <v>202</v>
      </c>
      <c r="G335" s="16" t="s">
        <v>202</v>
      </c>
      <c r="H335" s="16" t="s">
        <v>202</v>
      </c>
      <c r="I335" s="313" t="s">
        <v>202</v>
      </c>
      <c r="J335" s="16" t="s">
        <v>202</v>
      </c>
      <c r="K335" s="16" t="s">
        <v>202</v>
      </c>
      <c r="L335" s="16" t="s">
        <v>202</v>
      </c>
      <c r="M335" s="313" t="s">
        <v>202</v>
      </c>
      <c r="N335" s="16" t="s">
        <v>202</v>
      </c>
      <c r="O335" s="16" t="s">
        <v>202</v>
      </c>
      <c r="P335" s="16" t="s">
        <v>202</v>
      </c>
      <c r="Q335" s="313" t="s">
        <v>202</v>
      </c>
      <c r="R335" s="16" t="s">
        <v>202</v>
      </c>
      <c r="S335" s="16" t="s">
        <v>202</v>
      </c>
      <c r="T335" s="16" t="s">
        <v>202</v>
      </c>
    </row>
    <row r="336" spans="1:20" ht="39.950000000000003" customHeight="1" x14ac:dyDescent="0.25">
      <c r="A336" s="17"/>
      <c r="B336" s="18"/>
      <c r="C336" s="313"/>
      <c r="D336" s="313"/>
      <c r="E336" s="313" t="s">
        <v>202</v>
      </c>
      <c r="F336" s="16" t="s">
        <v>202</v>
      </c>
      <c r="G336" s="16" t="s">
        <v>202</v>
      </c>
      <c r="H336" s="16" t="s">
        <v>202</v>
      </c>
      <c r="I336" s="313" t="s">
        <v>202</v>
      </c>
      <c r="J336" s="16" t="s">
        <v>202</v>
      </c>
      <c r="K336" s="16" t="s">
        <v>202</v>
      </c>
      <c r="L336" s="16" t="s">
        <v>202</v>
      </c>
      <c r="M336" s="313" t="s">
        <v>202</v>
      </c>
      <c r="N336" s="16" t="s">
        <v>202</v>
      </c>
      <c r="O336" s="16" t="s">
        <v>202</v>
      </c>
      <c r="P336" s="16" t="s">
        <v>202</v>
      </c>
      <c r="Q336" s="313" t="s">
        <v>202</v>
      </c>
      <c r="R336" s="16" t="s">
        <v>202</v>
      </c>
      <c r="S336" s="16" t="s">
        <v>202</v>
      </c>
      <c r="T336" s="16" t="s">
        <v>202</v>
      </c>
    </row>
    <row r="337" spans="1:20" ht="39.950000000000003" customHeight="1" x14ac:dyDescent="0.25">
      <c r="A337" s="17"/>
      <c r="B337" s="18"/>
      <c r="C337" s="313"/>
      <c r="D337" s="313"/>
      <c r="E337" s="313" t="s">
        <v>202</v>
      </c>
      <c r="F337" s="16" t="s">
        <v>202</v>
      </c>
      <c r="G337" s="16" t="s">
        <v>202</v>
      </c>
      <c r="H337" s="16" t="s">
        <v>202</v>
      </c>
      <c r="I337" s="313" t="s">
        <v>202</v>
      </c>
      <c r="J337" s="16" t="s">
        <v>202</v>
      </c>
      <c r="K337" s="16" t="s">
        <v>202</v>
      </c>
      <c r="L337" s="16" t="s">
        <v>202</v>
      </c>
      <c r="M337" s="313" t="s">
        <v>202</v>
      </c>
      <c r="N337" s="16" t="s">
        <v>202</v>
      </c>
      <c r="O337" s="16" t="s">
        <v>202</v>
      </c>
      <c r="P337" s="16" t="s">
        <v>202</v>
      </c>
      <c r="Q337" s="313" t="s">
        <v>202</v>
      </c>
      <c r="R337" s="16" t="s">
        <v>202</v>
      </c>
      <c r="S337" s="16" t="s">
        <v>202</v>
      </c>
      <c r="T337" s="16" t="s">
        <v>202</v>
      </c>
    </row>
    <row r="338" spans="1:20" ht="39.950000000000003" customHeight="1" x14ac:dyDescent="0.25">
      <c r="A338" s="17"/>
      <c r="B338" s="18"/>
      <c r="C338" s="313"/>
      <c r="D338" s="313"/>
      <c r="E338" s="313" t="s">
        <v>202</v>
      </c>
      <c r="F338" s="16" t="s">
        <v>202</v>
      </c>
      <c r="G338" s="16" t="s">
        <v>202</v>
      </c>
      <c r="H338" s="16" t="s">
        <v>202</v>
      </c>
      <c r="I338" s="313" t="s">
        <v>202</v>
      </c>
      <c r="J338" s="16" t="s">
        <v>202</v>
      </c>
      <c r="K338" s="16" t="s">
        <v>202</v>
      </c>
      <c r="L338" s="16" t="s">
        <v>202</v>
      </c>
      <c r="M338" s="313" t="s">
        <v>202</v>
      </c>
      <c r="N338" s="16" t="s">
        <v>202</v>
      </c>
      <c r="O338" s="16" t="s">
        <v>202</v>
      </c>
      <c r="P338" s="16" t="s">
        <v>202</v>
      </c>
      <c r="Q338" s="313" t="s">
        <v>202</v>
      </c>
      <c r="R338" s="16" t="s">
        <v>202</v>
      </c>
      <c r="S338" s="16" t="s">
        <v>202</v>
      </c>
      <c r="T338" s="16" t="s">
        <v>202</v>
      </c>
    </row>
    <row r="339" spans="1:20" ht="39.950000000000003" customHeight="1" x14ac:dyDescent="0.25">
      <c r="A339" s="17"/>
      <c r="B339" s="18"/>
      <c r="C339" s="313"/>
      <c r="D339" s="313"/>
      <c r="E339" s="313" t="s">
        <v>202</v>
      </c>
      <c r="F339" s="16" t="s">
        <v>202</v>
      </c>
      <c r="G339" s="16" t="s">
        <v>202</v>
      </c>
      <c r="H339" s="16" t="s">
        <v>202</v>
      </c>
      <c r="I339" s="313" t="s">
        <v>202</v>
      </c>
      <c r="J339" s="16" t="s">
        <v>202</v>
      </c>
      <c r="K339" s="16" t="s">
        <v>202</v>
      </c>
      <c r="L339" s="16" t="s">
        <v>202</v>
      </c>
      <c r="M339" s="313" t="s">
        <v>202</v>
      </c>
      <c r="N339" s="16" t="s">
        <v>202</v>
      </c>
      <c r="O339" s="16" t="s">
        <v>202</v>
      </c>
      <c r="P339" s="16" t="s">
        <v>202</v>
      </c>
      <c r="Q339" s="313" t="s">
        <v>202</v>
      </c>
      <c r="R339" s="16" t="s">
        <v>202</v>
      </c>
      <c r="S339" s="16" t="s">
        <v>202</v>
      </c>
      <c r="T339" s="16" t="s">
        <v>202</v>
      </c>
    </row>
    <row r="340" spans="1:20" ht="39.950000000000003" customHeight="1" x14ac:dyDescent="0.25">
      <c r="A340" s="17"/>
      <c r="B340" s="18"/>
      <c r="C340" s="313"/>
      <c r="D340" s="313"/>
      <c r="E340" s="313" t="s">
        <v>202</v>
      </c>
      <c r="F340" s="16" t="s">
        <v>202</v>
      </c>
      <c r="G340" s="16" t="s">
        <v>202</v>
      </c>
      <c r="H340" s="16" t="s">
        <v>202</v>
      </c>
      <c r="I340" s="313" t="s">
        <v>202</v>
      </c>
      <c r="J340" s="16" t="s">
        <v>202</v>
      </c>
      <c r="K340" s="16" t="s">
        <v>202</v>
      </c>
      <c r="L340" s="16" t="s">
        <v>202</v>
      </c>
      <c r="M340" s="313" t="s">
        <v>202</v>
      </c>
      <c r="N340" s="16" t="s">
        <v>202</v>
      </c>
      <c r="O340" s="16" t="s">
        <v>202</v>
      </c>
      <c r="P340" s="16" t="s">
        <v>202</v>
      </c>
      <c r="Q340" s="313" t="s">
        <v>202</v>
      </c>
      <c r="R340" s="16" t="s">
        <v>202</v>
      </c>
      <c r="S340" s="16" t="s">
        <v>202</v>
      </c>
      <c r="T340" s="16" t="s">
        <v>202</v>
      </c>
    </row>
    <row r="341" spans="1:20" ht="39.950000000000003" customHeight="1" x14ac:dyDescent="0.25">
      <c r="A341" s="17"/>
      <c r="B341" s="18"/>
      <c r="C341" s="313"/>
      <c r="D341" s="313"/>
      <c r="E341" s="313" t="s">
        <v>202</v>
      </c>
      <c r="F341" s="16" t="s">
        <v>202</v>
      </c>
      <c r="G341" s="16" t="s">
        <v>202</v>
      </c>
      <c r="H341" s="16" t="s">
        <v>202</v>
      </c>
      <c r="I341" s="313" t="s">
        <v>202</v>
      </c>
      <c r="J341" s="16" t="s">
        <v>202</v>
      </c>
      <c r="K341" s="16" t="s">
        <v>202</v>
      </c>
      <c r="L341" s="16" t="s">
        <v>202</v>
      </c>
      <c r="M341" s="313" t="s">
        <v>202</v>
      </c>
      <c r="N341" s="16" t="s">
        <v>202</v>
      </c>
      <c r="O341" s="16" t="s">
        <v>202</v>
      </c>
      <c r="P341" s="16" t="s">
        <v>202</v>
      </c>
      <c r="Q341" s="313" t="s">
        <v>202</v>
      </c>
      <c r="R341" s="16" t="s">
        <v>202</v>
      </c>
      <c r="S341" s="16" t="s">
        <v>202</v>
      </c>
      <c r="T341" s="16" t="s">
        <v>202</v>
      </c>
    </row>
    <row r="342" spans="1:20" ht="39.950000000000003" customHeight="1" x14ac:dyDescent="0.25">
      <c r="A342" s="17"/>
      <c r="B342" s="18"/>
      <c r="C342" s="313"/>
      <c r="D342" s="313"/>
      <c r="E342" s="313" t="s">
        <v>202</v>
      </c>
      <c r="F342" s="16" t="s">
        <v>202</v>
      </c>
      <c r="G342" s="16" t="s">
        <v>202</v>
      </c>
      <c r="H342" s="16" t="s">
        <v>202</v>
      </c>
      <c r="I342" s="313" t="s">
        <v>202</v>
      </c>
      <c r="J342" s="16" t="s">
        <v>202</v>
      </c>
      <c r="K342" s="16" t="s">
        <v>202</v>
      </c>
      <c r="L342" s="16" t="s">
        <v>202</v>
      </c>
      <c r="M342" s="313" t="s">
        <v>202</v>
      </c>
      <c r="N342" s="16" t="s">
        <v>202</v>
      </c>
      <c r="O342" s="16" t="s">
        <v>202</v>
      </c>
      <c r="P342" s="16" t="s">
        <v>202</v>
      </c>
      <c r="Q342" s="313" t="s">
        <v>202</v>
      </c>
      <c r="R342" s="16" t="s">
        <v>202</v>
      </c>
      <c r="S342" s="16" t="s">
        <v>202</v>
      </c>
      <c r="T342" s="16" t="s">
        <v>202</v>
      </c>
    </row>
    <row r="343" spans="1:20" ht="39.950000000000003" customHeight="1" x14ac:dyDescent="0.25">
      <c r="A343" s="17"/>
      <c r="B343" s="18"/>
      <c r="C343" s="313"/>
      <c r="D343" s="313"/>
      <c r="E343" s="313" t="s">
        <v>202</v>
      </c>
      <c r="F343" s="16" t="s">
        <v>202</v>
      </c>
      <c r="G343" s="16" t="s">
        <v>202</v>
      </c>
      <c r="H343" s="16" t="s">
        <v>202</v>
      </c>
      <c r="I343" s="313" t="s">
        <v>202</v>
      </c>
      <c r="J343" s="16" t="s">
        <v>202</v>
      </c>
      <c r="K343" s="16" t="s">
        <v>202</v>
      </c>
      <c r="L343" s="16" t="s">
        <v>202</v>
      </c>
      <c r="M343" s="313" t="s">
        <v>202</v>
      </c>
      <c r="N343" s="16" t="s">
        <v>202</v>
      </c>
      <c r="O343" s="16" t="s">
        <v>202</v>
      </c>
      <c r="P343" s="16" t="s">
        <v>202</v>
      </c>
      <c r="Q343" s="313" t="s">
        <v>202</v>
      </c>
      <c r="R343" s="16" t="s">
        <v>202</v>
      </c>
      <c r="S343" s="16" t="s">
        <v>202</v>
      </c>
      <c r="T343" s="16" t="s">
        <v>202</v>
      </c>
    </row>
    <row r="344" spans="1:20" ht="39.950000000000003" customHeight="1" x14ac:dyDescent="0.25">
      <c r="A344" s="17"/>
      <c r="B344" s="18"/>
      <c r="C344" s="313"/>
      <c r="D344" s="313"/>
      <c r="E344" s="313" t="s">
        <v>202</v>
      </c>
      <c r="F344" s="16" t="s">
        <v>202</v>
      </c>
      <c r="G344" s="16" t="s">
        <v>202</v>
      </c>
      <c r="H344" s="16" t="s">
        <v>202</v>
      </c>
      <c r="I344" s="313" t="s">
        <v>202</v>
      </c>
      <c r="J344" s="16" t="s">
        <v>202</v>
      </c>
      <c r="K344" s="16" t="s">
        <v>202</v>
      </c>
      <c r="L344" s="16" t="s">
        <v>202</v>
      </c>
      <c r="M344" s="313" t="s">
        <v>202</v>
      </c>
      <c r="N344" s="16" t="s">
        <v>202</v>
      </c>
      <c r="O344" s="16" t="s">
        <v>202</v>
      </c>
      <c r="P344" s="16" t="s">
        <v>202</v>
      </c>
      <c r="Q344" s="313" t="s">
        <v>202</v>
      </c>
      <c r="R344" s="16" t="s">
        <v>202</v>
      </c>
      <c r="S344" s="16" t="s">
        <v>202</v>
      </c>
      <c r="T344" s="16" t="s">
        <v>202</v>
      </c>
    </row>
    <row r="345" spans="1:20" ht="39.950000000000003" customHeight="1" x14ac:dyDescent="0.25">
      <c r="A345" s="17"/>
      <c r="B345" s="18"/>
      <c r="C345" s="313"/>
      <c r="D345" s="313"/>
      <c r="E345" s="313" t="s">
        <v>202</v>
      </c>
      <c r="F345" s="16" t="s">
        <v>202</v>
      </c>
      <c r="G345" s="16" t="s">
        <v>202</v>
      </c>
      <c r="H345" s="16" t="s">
        <v>202</v>
      </c>
      <c r="I345" s="313" t="s">
        <v>202</v>
      </c>
      <c r="J345" s="16" t="s">
        <v>202</v>
      </c>
      <c r="K345" s="16" t="s">
        <v>202</v>
      </c>
      <c r="L345" s="16" t="s">
        <v>202</v>
      </c>
      <c r="M345" s="313" t="s">
        <v>202</v>
      </c>
      <c r="N345" s="16" t="s">
        <v>202</v>
      </c>
      <c r="O345" s="16" t="s">
        <v>202</v>
      </c>
      <c r="P345" s="16" t="s">
        <v>202</v>
      </c>
      <c r="Q345" s="313" t="s">
        <v>202</v>
      </c>
      <c r="R345" s="16" t="s">
        <v>202</v>
      </c>
      <c r="S345" s="16" t="s">
        <v>202</v>
      </c>
      <c r="T345" s="16" t="s">
        <v>202</v>
      </c>
    </row>
    <row r="346" spans="1:20" ht="39.950000000000003" customHeight="1" x14ac:dyDescent="0.25">
      <c r="A346" s="17"/>
      <c r="B346" s="18"/>
      <c r="C346" s="313"/>
      <c r="D346" s="313"/>
      <c r="E346" s="313" t="s">
        <v>202</v>
      </c>
      <c r="F346" s="16" t="s">
        <v>202</v>
      </c>
      <c r="G346" s="16" t="s">
        <v>202</v>
      </c>
      <c r="H346" s="16" t="s">
        <v>202</v>
      </c>
      <c r="I346" s="313" t="s">
        <v>202</v>
      </c>
      <c r="J346" s="16" t="s">
        <v>202</v>
      </c>
      <c r="K346" s="16" t="s">
        <v>202</v>
      </c>
      <c r="L346" s="16" t="s">
        <v>202</v>
      </c>
      <c r="M346" s="313" t="s">
        <v>202</v>
      </c>
      <c r="N346" s="16" t="s">
        <v>202</v>
      </c>
      <c r="O346" s="16" t="s">
        <v>202</v>
      </c>
      <c r="P346" s="16" t="s">
        <v>202</v>
      </c>
      <c r="Q346" s="313" t="s">
        <v>202</v>
      </c>
      <c r="R346" s="16" t="s">
        <v>202</v>
      </c>
      <c r="S346" s="16" t="s">
        <v>202</v>
      </c>
      <c r="T346" s="16" t="s">
        <v>202</v>
      </c>
    </row>
    <row r="347" spans="1:20" ht="39.950000000000003" customHeight="1" x14ac:dyDescent="0.25">
      <c r="A347" s="17"/>
      <c r="B347" s="18"/>
      <c r="C347" s="313"/>
      <c r="D347" s="313"/>
      <c r="E347" s="313" t="s">
        <v>202</v>
      </c>
      <c r="F347" s="16" t="s">
        <v>202</v>
      </c>
      <c r="G347" s="16" t="s">
        <v>202</v>
      </c>
      <c r="H347" s="16" t="s">
        <v>202</v>
      </c>
      <c r="I347" s="313" t="s">
        <v>202</v>
      </c>
      <c r="J347" s="16" t="s">
        <v>202</v>
      </c>
      <c r="K347" s="16" t="s">
        <v>202</v>
      </c>
      <c r="L347" s="16" t="s">
        <v>202</v>
      </c>
      <c r="M347" s="313" t="s">
        <v>202</v>
      </c>
      <c r="N347" s="16" t="s">
        <v>202</v>
      </c>
      <c r="O347" s="16" t="s">
        <v>202</v>
      </c>
      <c r="P347" s="16" t="s">
        <v>202</v>
      </c>
      <c r="Q347" s="313" t="s">
        <v>202</v>
      </c>
      <c r="R347" s="16" t="s">
        <v>202</v>
      </c>
      <c r="S347" s="16" t="s">
        <v>202</v>
      </c>
      <c r="T347" s="16" t="s">
        <v>202</v>
      </c>
    </row>
    <row r="348" spans="1:20" ht="39.950000000000003" customHeight="1" x14ac:dyDescent="0.25">
      <c r="A348" s="17"/>
      <c r="B348" s="18"/>
      <c r="C348" s="313"/>
      <c r="D348" s="313"/>
      <c r="E348" s="313" t="s">
        <v>202</v>
      </c>
      <c r="F348" s="16" t="s">
        <v>202</v>
      </c>
      <c r="G348" s="16" t="s">
        <v>202</v>
      </c>
      <c r="H348" s="16" t="s">
        <v>202</v>
      </c>
      <c r="I348" s="313" t="s">
        <v>202</v>
      </c>
      <c r="J348" s="16" t="s">
        <v>202</v>
      </c>
      <c r="K348" s="16" t="s">
        <v>202</v>
      </c>
      <c r="L348" s="16" t="s">
        <v>202</v>
      </c>
      <c r="M348" s="313" t="s">
        <v>202</v>
      </c>
      <c r="N348" s="16" t="s">
        <v>202</v>
      </c>
      <c r="O348" s="16" t="s">
        <v>202</v>
      </c>
      <c r="P348" s="16" t="s">
        <v>202</v>
      </c>
      <c r="Q348" s="313" t="s">
        <v>202</v>
      </c>
      <c r="R348" s="16" t="s">
        <v>202</v>
      </c>
      <c r="S348" s="16" t="s">
        <v>202</v>
      </c>
      <c r="T348" s="16" t="s">
        <v>202</v>
      </c>
    </row>
    <row r="349" spans="1:20" ht="39.950000000000003" customHeight="1" x14ac:dyDescent="0.25">
      <c r="A349" s="17"/>
      <c r="B349" s="18"/>
      <c r="C349" s="313"/>
      <c r="D349" s="313"/>
      <c r="E349" s="313" t="s">
        <v>202</v>
      </c>
      <c r="F349" s="16" t="s">
        <v>202</v>
      </c>
      <c r="G349" s="16" t="s">
        <v>202</v>
      </c>
      <c r="H349" s="16" t="s">
        <v>202</v>
      </c>
      <c r="I349" s="313" t="s">
        <v>202</v>
      </c>
      <c r="J349" s="16" t="s">
        <v>202</v>
      </c>
      <c r="K349" s="16" t="s">
        <v>202</v>
      </c>
      <c r="L349" s="16" t="s">
        <v>202</v>
      </c>
      <c r="M349" s="313" t="s">
        <v>202</v>
      </c>
      <c r="N349" s="16" t="s">
        <v>202</v>
      </c>
      <c r="O349" s="16" t="s">
        <v>202</v>
      </c>
      <c r="P349" s="16" t="s">
        <v>202</v>
      </c>
      <c r="Q349" s="313" t="s">
        <v>202</v>
      </c>
      <c r="R349" s="16" t="s">
        <v>202</v>
      </c>
      <c r="S349" s="16" t="s">
        <v>202</v>
      </c>
      <c r="T349" s="16" t="s">
        <v>202</v>
      </c>
    </row>
    <row r="350" spans="1:20" ht="39.950000000000003" customHeight="1" x14ac:dyDescent="0.25">
      <c r="A350" s="17"/>
      <c r="B350" s="18"/>
      <c r="C350" s="313"/>
      <c r="D350" s="313"/>
      <c r="E350" s="313" t="s">
        <v>202</v>
      </c>
      <c r="F350" s="16" t="s">
        <v>202</v>
      </c>
      <c r="G350" s="16" t="s">
        <v>202</v>
      </c>
      <c r="H350" s="16" t="s">
        <v>202</v>
      </c>
      <c r="I350" s="313" t="s">
        <v>202</v>
      </c>
      <c r="J350" s="16" t="s">
        <v>202</v>
      </c>
      <c r="K350" s="16" t="s">
        <v>202</v>
      </c>
      <c r="L350" s="16" t="s">
        <v>202</v>
      </c>
      <c r="M350" s="313" t="s">
        <v>202</v>
      </c>
      <c r="N350" s="16" t="s">
        <v>202</v>
      </c>
      <c r="O350" s="16" t="s">
        <v>202</v>
      </c>
      <c r="P350" s="16" t="s">
        <v>202</v>
      </c>
      <c r="Q350" s="313" t="s">
        <v>202</v>
      </c>
      <c r="R350" s="16" t="s">
        <v>202</v>
      </c>
      <c r="S350" s="16" t="s">
        <v>202</v>
      </c>
      <c r="T350" s="16" t="s">
        <v>202</v>
      </c>
    </row>
    <row r="351" spans="1:20" ht="39.950000000000003" customHeight="1" x14ac:dyDescent="0.25">
      <c r="A351" s="17"/>
      <c r="B351" s="18"/>
      <c r="C351" s="313"/>
      <c r="D351" s="313"/>
      <c r="E351" s="313" t="s">
        <v>202</v>
      </c>
      <c r="F351" s="16" t="s">
        <v>202</v>
      </c>
      <c r="G351" s="16" t="s">
        <v>202</v>
      </c>
      <c r="H351" s="16" t="s">
        <v>202</v>
      </c>
      <c r="I351" s="313" t="s">
        <v>202</v>
      </c>
      <c r="J351" s="16" t="s">
        <v>202</v>
      </c>
      <c r="K351" s="16" t="s">
        <v>202</v>
      </c>
      <c r="L351" s="16" t="s">
        <v>202</v>
      </c>
      <c r="M351" s="313" t="s">
        <v>202</v>
      </c>
      <c r="N351" s="16" t="s">
        <v>202</v>
      </c>
      <c r="O351" s="16" t="s">
        <v>202</v>
      </c>
      <c r="P351" s="16" t="s">
        <v>202</v>
      </c>
      <c r="Q351" s="313" t="s">
        <v>202</v>
      </c>
      <c r="R351" s="16" t="s">
        <v>202</v>
      </c>
      <c r="S351" s="16" t="s">
        <v>202</v>
      </c>
      <c r="T351" s="16" t="s">
        <v>202</v>
      </c>
    </row>
    <row r="352" spans="1:20" ht="39.950000000000003" customHeight="1" x14ac:dyDescent="0.25">
      <c r="A352" s="17"/>
      <c r="B352" s="18"/>
      <c r="C352" s="313"/>
      <c r="D352" s="313"/>
      <c r="E352" s="313" t="s">
        <v>202</v>
      </c>
      <c r="F352" s="16" t="s">
        <v>202</v>
      </c>
      <c r="G352" s="16" t="s">
        <v>202</v>
      </c>
      <c r="H352" s="16" t="s">
        <v>202</v>
      </c>
      <c r="I352" s="313" t="s">
        <v>202</v>
      </c>
      <c r="J352" s="16" t="s">
        <v>202</v>
      </c>
      <c r="K352" s="16" t="s">
        <v>202</v>
      </c>
      <c r="L352" s="16" t="s">
        <v>202</v>
      </c>
      <c r="M352" s="313" t="s">
        <v>202</v>
      </c>
      <c r="N352" s="16" t="s">
        <v>202</v>
      </c>
      <c r="O352" s="16" t="s">
        <v>202</v>
      </c>
      <c r="P352" s="16" t="s">
        <v>202</v>
      </c>
      <c r="Q352" s="313" t="s">
        <v>202</v>
      </c>
      <c r="R352" s="16" t="s">
        <v>202</v>
      </c>
      <c r="S352" s="16" t="s">
        <v>202</v>
      </c>
      <c r="T352" s="16" t="s">
        <v>202</v>
      </c>
    </row>
    <row r="353" spans="1:20" ht="39.950000000000003" customHeight="1" x14ac:dyDescent="0.25">
      <c r="A353" s="17"/>
      <c r="B353" s="18"/>
      <c r="C353" s="313"/>
      <c r="D353" s="313"/>
      <c r="E353" s="313" t="s">
        <v>202</v>
      </c>
      <c r="F353" s="16" t="s">
        <v>202</v>
      </c>
      <c r="G353" s="16" t="s">
        <v>202</v>
      </c>
      <c r="H353" s="16" t="s">
        <v>202</v>
      </c>
      <c r="I353" s="313" t="s">
        <v>202</v>
      </c>
      <c r="J353" s="16" t="s">
        <v>202</v>
      </c>
      <c r="K353" s="16" t="s">
        <v>202</v>
      </c>
      <c r="L353" s="16" t="s">
        <v>202</v>
      </c>
      <c r="M353" s="313" t="s">
        <v>202</v>
      </c>
      <c r="N353" s="16" t="s">
        <v>202</v>
      </c>
      <c r="O353" s="16" t="s">
        <v>202</v>
      </c>
      <c r="P353" s="16" t="s">
        <v>202</v>
      </c>
      <c r="Q353" s="313" t="s">
        <v>202</v>
      </c>
      <c r="R353" s="16" t="s">
        <v>202</v>
      </c>
      <c r="S353" s="16" t="s">
        <v>202</v>
      </c>
      <c r="T353" s="16" t="s">
        <v>202</v>
      </c>
    </row>
    <row r="354" spans="1:20" ht="39.950000000000003" customHeight="1" x14ac:dyDescent="0.25">
      <c r="A354" s="17"/>
      <c r="B354" s="18"/>
      <c r="C354" s="313"/>
      <c r="D354" s="313"/>
      <c r="E354" s="313" t="s">
        <v>202</v>
      </c>
      <c r="F354" s="16" t="s">
        <v>202</v>
      </c>
      <c r="G354" s="16" t="s">
        <v>202</v>
      </c>
      <c r="H354" s="16" t="s">
        <v>202</v>
      </c>
      <c r="I354" s="313" t="s">
        <v>202</v>
      </c>
      <c r="J354" s="16" t="s">
        <v>202</v>
      </c>
      <c r="K354" s="16" t="s">
        <v>202</v>
      </c>
      <c r="L354" s="16" t="s">
        <v>202</v>
      </c>
      <c r="M354" s="313" t="s">
        <v>202</v>
      </c>
      <c r="N354" s="16" t="s">
        <v>202</v>
      </c>
      <c r="O354" s="16" t="s">
        <v>202</v>
      </c>
      <c r="P354" s="16" t="s">
        <v>202</v>
      </c>
      <c r="Q354" s="313" t="s">
        <v>202</v>
      </c>
      <c r="R354" s="16" t="s">
        <v>202</v>
      </c>
      <c r="S354" s="16" t="s">
        <v>202</v>
      </c>
      <c r="T354" s="16" t="s">
        <v>202</v>
      </c>
    </row>
    <row r="355" spans="1:20" ht="39.950000000000003" customHeight="1" x14ac:dyDescent="0.25">
      <c r="A355" s="17"/>
      <c r="B355" s="18"/>
      <c r="C355" s="313"/>
      <c r="D355" s="313"/>
      <c r="E355" s="313" t="s">
        <v>202</v>
      </c>
      <c r="F355" s="16" t="s">
        <v>202</v>
      </c>
      <c r="G355" s="16" t="s">
        <v>202</v>
      </c>
      <c r="H355" s="16" t="s">
        <v>202</v>
      </c>
      <c r="I355" s="313" t="s">
        <v>202</v>
      </c>
      <c r="J355" s="16" t="s">
        <v>202</v>
      </c>
      <c r="K355" s="16" t="s">
        <v>202</v>
      </c>
      <c r="L355" s="16" t="s">
        <v>202</v>
      </c>
      <c r="M355" s="313" t="s">
        <v>202</v>
      </c>
      <c r="N355" s="16" t="s">
        <v>202</v>
      </c>
      <c r="O355" s="16" t="s">
        <v>202</v>
      </c>
      <c r="P355" s="16" t="s">
        <v>202</v>
      </c>
      <c r="Q355" s="313" t="s">
        <v>202</v>
      </c>
      <c r="R355" s="16" t="s">
        <v>202</v>
      </c>
      <c r="S355" s="16" t="s">
        <v>202</v>
      </c>
      <c r="T355" s="16" t="s">
        <v>202</v>
      </c>
    </row>
    <row r="356" spans="1:20" ht="39.950000000000003" customHeight="1" x14ac:dyDescent="0.25">
      <c r="A356" s="17"/>
      <c r="B356" s="18"/>
      <c r="C356" s="313"/>
      <c r="D356" s="313"/>
      <c r="E356" s="313" t="s">
        <v>202</v>
      </c>
      <c r="F356" s="16" t="s">
        <v>202</v>
      </c>
      <c r="G356" s="16" t="s">
        <v>202</v>
      </c>
      <c r="H356" s="16" t="s">
        <v>202</v>
      </c>
      <c r="I356" s="313" t="s">
        <v>202</v>
      </c>
      <c r="J356" s="16" t="s">
        <v>202</v>
      </c>
      <c r="K356" s="16" t="s">
        <v>202</v>
      </c>
      <c r="L356" s="16" t="s">
        <v>202</v>
      </c>
      <c r="M356" s="313" t="s">
        <v>202</v>
      </c>
      <c r="N356" s="16" t="s">
        <v>202</v>
      </c>
      <c r="O356" s="16" t="s">
        <v>202</v>
      </c>
      <c r="P356" s="16" t="s">
        <v>202</v>
      </c>
      <c r="Q356" s="313" t="s">
        <v>202</v>
      </c>
      <c r="R356" s="16" t="s">
        <v>202</v>
      </c>
      <c r="S356" s="16" t="s">
        <v>202</v>
      </c>
      <c r="T356" s="16" t="s">
        <v>202</v>
      </c>
    </row>
    <row r="357" spans="1:20" ht="39.950000000000003" customHeight="1" x14ac:dyDescent="0.25">
      <c r="A357" s="17"/>
      <c r="B357" s="18"/>
      <c r="C357" s="313"/>
      <c r="D357" s="313"/>
      <c r="E357" s="313" t="s">
        <v>202</v>
      </c>
      <c r="F357" s="16" t="s">
        <v>202</v>
      </c>
      <c r="G357" s="16" t="s">
        <v>202</v>
      </c>
      <c r="H357" s="16" t="s">
        <v>202</v>
      </c>
      <c r="I357" s="313" t="s">
        <v>202</v>
      </c>
      <c r="J357" s="16" t="s">
        <v>202</v>
      </c>
      <c r="K357" s="16" t="s">
        <v>202</v>
      </c>
      <c r="L357" s="16" t="s">
        <v>202</v>
      </c>
      <c r="M357" s="313" t="s">
        <v>202</v>
      </c>
      <c r="N357" s="16" t="s">
        <v>202</v>
      </c>
      <c r="O357" s="16" t="s">
        <v>202</v>
      </c>
      <c r="P357" s="16" t="s">
        <v>202</v>
      </c>
      <c r="Q357" s="313" t="s">
        <v>202</v>
      </c>
      <c r="R357" s="16" t="s">
        <v>202</v>
      </c>
      <c r="S357" s="16" t="s">
        <v>202</v>
      </c>
      <c r="T357" s="16" t="s">
        <v>202</v>
      </c>
    </row>
    <row r="358" spans="1:20" ht="39.950000000000003" customHeight="1" x14ac:dyDescent="0.25">
      <c r="A358" s="17"/>
      <c r="B358" s="18"/>
      <c r="C358" s="313"/>
      <c r="D358" s="313"/>
      <c r="E358" s="313" t="s">
        <v>202</v>
      </c>
      <c r="F358" s="16" t="s">
        <v>202</v>
      </c>
      <c r="G358" s="16" t="s">
        <v>202</v>
      </c>
      <c r="H358" s="16" t="s">
        <v>202</v>
      </c>
      <c r="I358" s="313" t="s">
        <v>202</v>
      </c>
      <c r="J358" s="16" t="s">
        <v>202</v>
      </c>
      <c r="K358" s="16" t="s">
        <v>202</v>
      </c>
      <c r="L358" s="16" t="s">
        <v>202</v>
      </c>
      <c r="M358" s="313" t="s">
        <v>202</v>
      </c>
      <c r="N358" s="16" t="s">
        <v>202</v>
      </c>
      <c r="O358" s="16" t="s">
        <v>202</v>
      </c>
      <c r="P358" s="16" t="s">
        <v>202</v>
      </c>
      <c r="Q358" s="313" t="s">
        <v>202</v>
      </c>
      <c r="R358" s="16" t="s">
        <v>202</v>
      </c>
      <c r="S358" s="16" t="s">
        <v>202</v>
      </c>
      <c r="T358" s="16" t="s">
        <v>202</v>
      </c>
    </row>
    <row r="359" spans="1:20" ht="39.950000000000003" customHeight="1" x14ac:dyDescent="0.25">
      <c r="A359" s="17"/>
      <c r="B359" s="18"/>
      <c r="C359" s="313"/>
      <c r="D359" s="313"/>
      <c r="E359" s="313" t="s">
        <v>202</v>
      </c>
      <c r="F359" s="16" t="s">
        <v>202</v>
      </c>
      <c r="G359" s="16" t="s">
        <v>202</v>
      </c>
      <c r="H359" s="16" t="s">
        <v>202</v>
      </c>
      <c r="I359" s="313" t="s">
        <v>202</v>
      </c>
      <c r="J359" s="16" t="s">
        <v>202</v>
      </c>
      <c r="K359" s="16" t="s">
        <v>202</v>
      </c>
      <c r="L359" s="16" t="s">
        <v>202</v>
      </c>
      <c r="M359" s="313" t="s">
        <v>202</v>
      </c>
      <c r="N359" s="16" t="s">
        <v>202</v>
      </c>
      <c r="O359" s="16" t="s">
        <v>202</v>
      </c>
      <c r="P359" s="16" t="s">
        <v>202</v>
      </c>
      <c r="Q359" s="313" t="s">
        <v>202</v>
      </c>
      <c r="R359" s="16" t="s">
        <v>202</v>
      </c>
      <c r="S359" s="16" t="s">
        <v>202</v>
      </c>
      <c r="T359" s="16" t="s">
        <v>202</v>
      </c>
    </row>
    <row r="360" spans="1:20" ht="39.950000000000003" customHeight="1" x14ac:dyDescent="0.25">
      <c r="A360" s="17"/>
      <c r="B360" s="18"/>
      <c r="C360" s="313"/>
      <c r="D360" s="313"/>
      <c r="E360" s="313" t="s">
        <v>202</v>
      </c>
      <c r="F360" s="16" t="s">
        <v>202</v>
      </c>
      <c r="G360" s="16" t="s">
        <v>202</v>
      </c>
      <c r="H360" s="16" t="s">
        <v>202</v>
      </c>
      <c r="I360" s="313" t="s">
        <v>202</v>
      </c>
      <c r="J360" s="16" t="s">
        <v>202</v>
      </c>
      <c r="K360" s="16" t="s">
        <v>202</v>
      </c>
      <c r="L360" s="16" t="s">
        <v>202</v>
      </c>
      <c r="M360" s="313" t="s">
        <v>202</v>
      </c>
      <c r="N360" s="16" t="s">
        <v>202</v>
      </c>
      <c r="O360" s="16" t="s">
        <v>202</v>
      </c>
      <c r="P360" s="16" t="s">
        <v>202</v>
      </c>
      <c r="Q360" s="313" t="s">
        <v>202</v>
      </c>
      <c r="R360" s="16" t="s">
        <v>202</v>
      </c>
      <c r="S360" s="16" t="s">
        <v>202</v>
      </c>
      <c r="T360" s="16" t="s">
        <v>202</v>
      </c>
    </row>
    <row r="361" spans="1:20" ht="39.950000000000003" customHeight="1" x14ac:dyDescent="0.25">
      <c r="A361" s="17"/>
      <c r="B361" s="18"/>
      <c r="C361" s="313"/>
      <c r="D361" s="313"/>
      <c r="E361" s="313" t="s">
        <v>202</v>
      </c>
      <c r="F361" s="16" t="s">
        <v>202</v>
      </c>
      <c r="G361" s="16" t="s">
        <v>202</v>
      </c>
      <c r="H361" s="16" t="s">
        <v>202</v>
      </c>
      <c r="I361" s="313" t="s">
        <v>202</v>
      </c>
      <c r="J361" s="16" t="s">
        <v>202</v>
      </c>
      <c r="K361" s="16" t="s">
        <v>202</v>
      </c>
      <c r="L361" s="16" t="s">
        <v>202</v>
      </c>
      <c r="M361" s="313" t="s">
        <v>202</v>
      </c>
      <c r="N361" s="16" t="s">
        <v>202</v>
      </c>
      <c r="O361" s="16" t="s">
        <v>202</v>
      </c>
      <c r="P361" s="16" t="s">
        <v>202</v>
      </c>
      <c r="Q361" s="313" t="s">
        <v>202</v>
      </c>
      <c r="R361" s="16" t="s">
        <v>202</v>
      </c>
      <c r="S361" s="16" t="s">
        <v>202</v>
      </c>
      <c r="T361" s="16" t="s">
        <v>202</v>
      </c>
    </row>
    <row r="362" spans="1:20" ht="39.950000000000003" customHeight="1" x14ac:dyDescent="0.25">
      <c r="A362" s="17"/>
      <c r="B362" s="18"/>
      <c r="C362" s="313"/>
      <c r="D362" s="313"/>
      <c r="E362" s="313" t="s">
        <v>202</v>
      </c>
      <c r="F362" s="16" t="s">
        <v>202</v>
      </c>
      <c r="G362" s="16" t="s">
        <v>202</v>
      </c>
      <c r="H362" s="16" t="s">
        <v>202</v>
      </c>
      <c r="I362" s="313" t="s">
        <v>202</v>
      </c>
      <c r="J362" s="16" t="s">
        <v>202</v>
      </c>
      <c r="K362" s="16" t="s">
        <v>202</v>
      </c>
      <c r="L362" s="16" t="s">
        <v>202</v>
      </c>
      <c r="M362" s="313" t="s">
        <v>202</v>
      </c>
      <c r="N362" s="16" t="s">
        <v>202</v>
      </c>
      <c r="O362" s="16" t="s">
        <v>202</v>
      </c>
      <c r="P362" s="16" t="s">
        <v>202</v>
      </c>
      <c r="Q362" s="313" t="s">
        <v>202</v>
      </c>
      <c r="R362" s="16" t="s">
        <v>202</v>
      </c>
      <c r="S362" s="16" t="s">
        <v>202</v>
      </c>
      <c r="T362" s="16" t="s">
        <v>202</v>
      </c>
    </row>
    <row r="363" spans="1:20" ht="39.950000000000003" customHeight="1" x14ac:dyDescent="0.25">
      <c r="A363" s="17"/>
      <c r="B363" s="18"/>
      <c r="C363" s="313"/>
      <c r="D363" s="313"/>
      <c r="E363" s="313" t="s">
        <v>202</v>
      </c>
      <c r="F363" s="16" t="s">
        <v>202</v>
      </c>
      <c r="G363" s="16" t="s">
        <v>202</v>
      </c>
      <c r="H363" s="16" t="s">
        <v>202</v>
      </c>
      <c r="I363" s="313" t="s">
        <v>202</v>
      </c>
      <c r="J363" s="16" t="s">
        <v>202</v>
      </c>
      <c r="K363" s="16" t="s">
        <v>202</v>
      </c>
      <c r="L363" s="16" t="s">
        <v>202</v>
      </c>
      <c r="M363" s="313" t="s">
        <v>202</v>
      </c>
      <c r="N363" s="16" t="s">
        <v>202</v>
      </c>
      <c r="O363" s="16" t="s">
        <v>202</v>
      </c>
      <c r="P363" s="16" t="s">
        <v>202</v>
      </c>
      <c r="Q363" s="313" t="s">
        <v>202</v>
      </c>
      <c r="R363" s="16" t="s">
        <v>202</v>
      </c>
      <c r="S363" s="16" t="s">
        <v>202</v>
      </c>
      <c r="T363" s="16" t="s">
        <v>202</v>
      </c>
    </row>
    <row r="364" spans="1:20" ht="39.950000000000003" customHeight="1" x14ac:dyDescent="0.25">
      <c r="A364" s="17"/>
      <c r="B364" s="18"/>
      <c r="C364" s="313"/>
      <c r="D364" s="313"/>
      <c r="E364" s="313" t="s">
        <v>202</v>
      </c>
      <c r="F364" s="16" t="s">
        <v>202</v>
      </c>
      <c r="G364" s="16" t="s">
        <v>202</v>
      </c>
      <c r="H364" s="16" t="s">
        <v>202</v>
      </c>
      <c r="I364" s="313" t="s">
        <v>202</v>
      </c>
      <c r="J364" s="16" t="s">
        <v>202</v>
      </c>
      <c r="K364" s="16" t="s">
        <v>202</v>
      </c>
      <c r="L364" s="16" t="s">
        <v>202</v>
      </c>
      <c r="M364" s="313" t="s">
        <v>202</v>
      </c>
      <c r="N364" s="16" t="s">
        <v>202</v>
      </c>
      <c r="O364" s="16" t="s">
        <v>202</v>
      </c>
      <c r="P364" s="16" t="s">
        <v>202</v>
      </c>
      <c r="Q364" s="313" t="s">
        <v>202</v>
      </c>
      <c r="R364" s="16" t="s">
        <v>202</v>
      </c>
      <c r="S364" s="16" t="s">
        <v>202</v>
      </c>
      <c r="T364" s="16" t="s">
        <v>202</v>
      </c>
    </row>
    <row r="365" spans="1:20" ht="39.950000000000003" customHeight="1" x14ac:dyDescent="0.25">
      <c r="A365" s="17"/>
      <c r="B365" s="18"/>
      <c r="C365" s="313"/>
      <c r="D365" s="313"/>
      <c r="E365" s="313" t="s">
        <v>202</v>
      </c>
      <c r="F365" s="16" t="s">
        <v>202</v>
      </c>
      <c r="G365" s="16" t="s">
        <v>202</v>
      </c>
      <c r="H365" s="16" t="s">
        <v>202</v>
      </c>
      <c r="I365" s="313" t="s">
        <v>202</v>
      </c>
      <c r="J365" s="16" t="s">
        <v>202</v>
      </c>
      <c r="K365" s="16" t="s">
        <v>202</v>
      </c>
      <c r="L365" s="16" t="s">
        <v>202</v>
      </c>
      <c r="M365" s="313" t="s">
        <v>202</v>
      </c>
      <c r="N365" s="16" t="s">
        <v>202</v>
      </c>
      <c r="O365" s="16" t="s">
        <v>202</v>
      </c>
      <c r="P365" s="16" t="s">
        <v>202</v>
      </c>
      <c r="Q365" s="313" t="s">
        <v>202</v>
      </c>
      <c r="R365" s="16" t="s">
        <v>202</v>
      </c>
      <c r="S365" s="16" t="s">
        <v>202</v>
      </c>
      <c r="T365" s="16" t="s">
        <v>202</v>
      </c>
    </row>
    <row r="366" spans="1:20" ht="39.950000000000003" customHeight="1" x14ac:dyDescent="0.25">
      <c r="A366" s="17"/>
      <c r="B366" s="18"/>
      <c r="C366" s="313"/>
      <c r="D366" s="313"/>
      <c r="E366" s="313" t="s">
        <v>202</v>
      </c>
      <c r="F366" s="16" t="s">
        <v>202</v>
      </c>
      <c r="G366" s="16" t="s">
        <v>202</v>
      </c>
      <c r="H366" s="16" t="s">
        <v>202</v>
      </c>
      <c r="I366" s="313" t="s">
        <v>202</v>
      </c>
      <c r="J366" s="16" t="s">
        <v>202</v>
      </c>
      <c r="K366" s="16" t="s">
        <v>202</v>
      </c>
      <c r="L366" s="16" t="s">
        <v>202</v>
      </c>
      <c r="M366" s="313" t="s">
        <v>202</v>
      </c>
      <c r="N366" s="16" t="s">
        <v>202</v>
      </c>
      <c r="O366" s="16" t="s">
        <v>202</v>
      </c>
      <c r="P366" s="16" t="s">
        <v>202</v>
      </c>
      <c r="Q366" s="313" t="s">
        <v>202</v>
      </c>
      <c r="R366" s="16" t="s">
        <v>202</v>
      </c>
      <c r="S366" s="16" t="s">
        <v>202</v>
      </c>
      <c r="T366" s="16" t="s">
        <v>202</v>
      </c>
    </row>
    <row r="367" spans="1:20" ht="39.950000000000003" customHeight="1" x14ac:dyDescent="0.25">
      <c r="A367" s="17"/>
      <c r="B367" s="18"/>
      <c r="C367" s="313"/>
      <c r="D367" s="313"/>
      <c r="E367" s="313" t="s">
        <v>202</v>
      </c>
      <c r="F367" s="16" t="s">
        <v>202</v>
      </c>
      <c r="G367" s="16" t="s">
        <v>202</v>
      </c>
      <c r="H367" s="16" t="s">
        <v>202</v>
      </c>
      <c r="I367" s="313" t="s">
        <v>202</v>
      </c>
      <c r="J367" s="16" t="s">
        <v>202</v>
      </c>
      <c r="K367" s="16" t="s">
        <v>202</v>
      </c>
      <c r="L367" s="16" t="s">
        <v>202</v>
      </c>
      <c r="M367" s="313" t="s">
        <v>202</v>
      </c>
      <c r="N367" s="16" t="s">
        <v>202</v>
      </c>
      <c r="O367" s="16" t="s">
        <v>202</v>
      </c>
      <c r="P367" s="16" t="s">
        <v>202</v>
      </c>
      <c r="Q367" s="313" t="s">
        <v>202</v>
      </c>
      <c r="R367" s="16" t="s">
        <v>202</v>
      </c>
      <c r="S367" s="16" t="s">
        <v>202</v>
      </c>
      <c r="T367" s="16" t="s">
        <v>202</v>
      </c>
    </row>
    <row r="368" spans="1:20" ht="39.950000000000003" customHeight="1" x14ac:dyDescent="0.25">
      <c r="A368" s="17"/>
      <c r="B368" s="18"/>
      <c r="C368" s="313"/>
      <c r="D368" s="313"/>
      <c r="E368" s="313" t="s">
        <v>202</v>
      </c>
      <c r="F368" s="16" t="s">
        <v>202</v>
      </c>
      <c r="G368" s="16" t="s">
        <v>202</v>
      </c>
      <c r="H368" s="16" t="s">
        <v>202</v>
      </c>
      <c r="I368" s="313" t="s">
        <v>202</v>
      </c>
      <c r="J368" s="16" t="s">
        <v>202</v>
      </c>
      <c r="K368" s="16" t="s">
        <v>202</v>
      </c>
      <c r="L368" s="16" t="s">
        <v>202</v>
      </c>
      <c r="M368" s="313" t="s">
        <v>202</v>
      </c>
      <c r="N368" s="16" t="s">
        <v>202</v>
      </c>
      <c r="O368" s="16" t="s">
        <v>202</v>
      </c>
      <c r="P368" s="16" t="s">
        <v>202</v>
      </c>
      <c r="Q368" s="313" t="s">
        <v>202</v>
      </c>
      <c r="R368" s="16" t="s">
        <v>202</v>
      </c>
      <c r="S368" s="16" t="s">
        <v>202</v>
      </c>
      <c r="T368" s="16" t="s">
        <v>202</v>
      </c>
    </row>
    <row r="369" spans="1:20" ht="39.950000000000003" customHeight="1" x14ac:dyDescent="0.25">
      <c r="A369" s="17"/>
      <c r="B369" s="18"/>
      <c r="C369" s="313"/>
      <c r="D369" s="313"/>
      <c r="E369" s="313" t="s">
        <v>202</v>
      </c>
      <c r="F369" s="16" t="s">
        <v>202</v>
      </c>
      <c r="G369" s="16" t="s">
        <v>202</v>
      </c>
      <c r="H369" s="16" t="s">
        <v>202</v>
      </c>
      <c r="I369" s="313" t="s">
        <v>202</v>
      </c>
      <c r="J369" s="16" t="s">
        <v>202</v>
      </c>
      <c r="K369" s="16" t="s">
        <v>202</v>
      </c>
      <c r="L369" s="16" t="s">
        <v>202</v>
      </c>
      <c r="M369" s="313" t="s">
        <v>202</v>
      </c>
      <c r="N369" s="16" t="s">
        <v>202</v>
      </c>
      <c r="O369" s="16" t="s">
        <v>202</v>
      </c>
      <c r="P369" s="16" t="s">
        <v>202</v>
      </c>
      <c r="Q369" s="313" t="s">
        <v>202</v>
      </c>
      <c r="R369" s="16" t="s">
        <v>202</v>
      </c>
      <c r="S369" s="16" t="s">
        <v>202</v>
      </c>
      <c r="T369" s="16" t="s">
        <v>202</v>
      </c>
    </row>
    <row r="370" spans="1:20" ht="39.950000000000003" customHeight="1" x14ac:dyDescent="0.25">
      <c r="A370" s="17"/>
      <c r="B370" s="18"/>
      <c r="C370" s="313"/>
      <c r="D370" s="313"/>
      <c r="E370" s="313" t="s">
        <v>202</v>
      </c>
      <c r="F370" s="16" t="s">
        <v>202</v>
      </c>
      <c r="G370" s="16" t="s">
        <v>202</v>
      </c>
      <c r="H370" s="16" t="s">
        <v>202</v>
      </c>
      <c r="I370" s="313" t="s">
        <v>202</v>
      </c>
      <c r="J370" s="16" t="s">
        <v>202</v>
      </c>
      <c r="K370" s="16" t="s">
        <v>202</v>
      </c>
      <c r="L370" s="16" t="s">
        <v>202</v>
      </c>
      <c r="M370" s="313" t="s">
        <v>202</v>
      </c>
      <c r="N370" s="16" t="s">
        <v>202</v>
      </c>
      <c r="O370" s="16" t="s">
        <v>202</v>
      </c>
      <c r="P370" s="16" t="s">
        <v>202</v>
      </c>
      <c r="Q370" s="313" t="s">
        <v>202</v>
      </c>
      <c r="R370" s="16" t="s">
        <v>202</v>
      </c>
      <c r="S370" s="16" t="s">
        <v>202</v>
      </c>
      <c r="T370" s="16" t="s">
        <v>202</v>
      </c>
    </row>
    <row r="371" spans="1:20" ht="39.950000000000003" customHeight="1" x14ac:dyDescent="0.25">
      <c r="A371" s="17"/>
      <c r="B371" s="18"/>
      <c r="C371" s="313"/>
      <c r="D371" s="313"/>
      <c r="E371" s="313" t="s">
        <v>202</v>
      </c>
      <c r="F371" s="16" t="s">
        <v>202</v>
      </c>
      <c r="G371" s="16" t="s">
        <v>202</v>
      </c>
      <c r="H371" s="16" t="s">
        <v>202</v>
      </c>
      <c r="I371" s="313" t="s">
        <v>202</v>
      </c>
      <c r="J371" s="16" t="s">
        <v>202</v>
      </c>
      <c r="K371" s="16" t="s">
        <v>202</v>
      </c>
      <c r="L371" s="16" t="s">
        <v>202</v>
      </c>
      <c r="M371" s="313" t="s">
        <v>202</v>
      </c>
      <c r="N371" s="16" t="s">
        <v>202</v>
      </c>
      <c r="O371" s="16" t="s">
        <v>202</v>
      </c>
      <c r="P371" s="16" t="s">
        <v>202</v>
      </c>
      <c r="Q371" s="313" t="s">
        <v>202</v>
      </c>
      <c r="R371" s="16" t="s">
        <v>202</v>
      </c>
      <c r="S371" s="16" t="s">
        <v>202</v>
      </c>
      <c r="T371" s="16" t="s">
        <v>202</v>
      </c>
    </row>
    <row r="372" spans="1:20" ht="39.950000000000003" customHeight="1" x14ac:dyDescent="0.25">
      <c r="A372" s="17"/>
      <c r="B372" s="18"/>
      <c r="C372" s="313"/>
      <c r="D372" s="313"/>
      <c r="E372" s="313" t="s">
        <v>202</v>
      </c>
      <c r="F372" s="16" t="s">
        <v>202</v>
      </c>
      <c r="G372" s="16" t="s">
        <v>202</v>
      </c>
      <c r="H372" s="16" t="s">
        <v>202</v>
      </c>
      <c r="I372" s="313" t="s">
        <v>202</v>
      </c>
      <c r="J372" s="16" t="s">
        <v>202</v>
      </c>
      <c r="K372" s="16" t="s">
        <v>202</v>
      </c>
      <c r="L372" s="16" t="s">
        <v>202</v>
      </c>
      <c r="M372" s="313" t="s">
        <v>202</v>
      </c>
      <c r="N372" s="16" t="s">
        <v>202</v>
      </c>
      <c r="O372" s="16" t="s">
        <v>202</v>
      </c>
      <c r="P372" s="16" t="s">
        <v>202</v>
      </c>
      <c r="Q372" s="313" t="s">
        <v>202</v>
      </c>
      <c r="R372" s="16" t="s">
        <v>202</v>
      </c>
      <c r="S372" s="16" t="s">
        <v>202</v>
      </c>
      <c r="T372" s="16" t="s">
        <v>202</v>
      </c>
    </row>
    <row r="373" spans="1:20" ht="39.950000000000003" customHeight="1" x14ac:dyDescent="0.25">
      <c r="A373" s="17"/>
      <c r="B373" s="18"/>
      <c r="C373" s="313"/>
      <c r="D373" s="313"/>
      <c r="E373" s="313" t="s">
        <v>202</v>
      </c>
      <c r="F373" s="16" t="s">
        <v>202</v>
      </c>
      <c r="G373" s="16" t="s">
        <v>202</v>
      </c>
      <c r="H373" s="16" t="s">
        <v>202</v>
      </c>
      <c r="I373" s="313" t="s">
        <v>202</v>
      </c>
      <c r="J373" s="16" t="s">
        <v>202</v>
      </c>
      <c r="K373" s="16" t="s">
        <v>202</v>
      </c>
      <c r="L373" s="16" t="s">
        <v>202</v>
      </c>
      <c r="M373" s="313" t="s">
        <v>202</v>
      </c>
      <c r="N373" s="16" t="s">
        <v>202</v>
      </c>
      <c r="O373" s="16" t="s">
        <v>202</v>
      </c>
      <c r="P373" s="16" t="s">
        <v>202</v>
      </c>
      <c r="Q373" s="313" t="s">
        <v>202</v>
      </c>
      <c r="R373" s="16" t="s">
        <v>202</v>
      </c>
      <c r="S373" s="16" t="s">
        <v>202</v>
      </c>
      <c r="T373" s="16" t="s">
        <v>202</v>
      </c>
    </row>
    <row r="374" spans="1:20" ht="39.950000000000003" customHeight="1" x14ac:dyDescent="0.25">
      <c r="A374" s="17"/>
      <c r="B374" s="18"/>
      <c r="C374" s="313"/>
      <c r="D374" s="313"/>
      <c r="E374" s="313" t="s">
        <v>202</v>
      </c>
      <c r="F374" s="16" t="s">
        <v>202</v>
      </c>
      <c r="G374" s="16" t="s">
        <v>202</v>
      </c>
      <c r="H374" s="16" t="s">
        <v>202</v>
      </c>
      <c r="I374" s="313" t="s">
        <v>202</v>
      </c>
      <c r="J374" s="16" t="s">
        <v>202</v>
      </c>
      <c r="K374" s="16" t="s">
        <v>202</v>
      </c>
      <c r="L374" s="16" t="s">
        <v>202</v>
      </c>
      <c r="M374" s="313" t="s">
        <v>202</v>
      </c>
      <c r="N374" s="16" t="s">
        <v>202</v>
      </c>
      <c r="O374" s="16" t="s">
        <v>202</v>
      </c>
      <c r="P374" s="16" t="s">
        <v>202</v>
      </c>
      <c r="Q374" s="313" t="s">
        <v>202</v>
      </c>
      <c r="R374" s="16" t="s">
        <v>202</v>
      </c>
      <c r="S374" s="16" t="s">
        <v>202</v>
      </c>
      <c r="T374" s="16" t="s">
        <v>202</v>
      </c>
    </row>
    <row r="375" spans="1:20" ht="39.950000000000003" customHeight="1" x14ac:dyDescent="0.25">
      <c r="A375" s="17"/>
      <c r="B375" s="18"/>
      <c r="C375" s="313"/>
      <c r="D375" s="313"/>
      <c r="E375" s="313" t="s">
        <v>202</v>
      </c>
      <c r="F375" s="16" t="s">
        <v>202</v>
      </c>
      <c r="G375" s="16" t="s">
        <v>202</v>
      </c>
      <c r="H375" s="16" t="s">
        <v>202</v>
      </c>
      <c r="I375" s="313" t="s">
        <v>202</v>
      </c>
      <c r="J375" s="16" t="s">
        <v>202</v>
      </c>
      <c r="K375" s="16" t="s">
        <v>202</v>
      </c>
      <c r="L375" s="16" t="s">
        <v>202</v>
      </c>
      <c r="M375" s="313" t="s">
        <v>202</v>
      </c>
      <c r="N375" s="16" t="s">
        <v>202</v>
      </c>
      <c r="O375" s="16" t="s">
        <v>202</v>
      </c>
      <c r="P375" s="16" t="s">
        <v>202</v>
      </c>
      <c r="Q375" s="313" t="s">
        <v>202</v>
      </c>
      <c r="R375" s="16" t="s">
        <v>202</v>
      </c>
      <c r="S375" s="16" t="s">
        <v>202</v>
      </c>
      <c r="T375" s="16" t="s">
        <v>202</v>
      </c>
    </row>
    <row r="376" spans="1:20" ht="39.950000000000003" customHeight="1" x14ac:dyDescent="0.25">
      <c r="A376" s="17"/>
      <c r="B376" s="18"/>
      <c r="C376" s="313"/>
      <c r="D376" s="313"/>
      <c r="E376" s="313" t="s">
        <v>202</v>
      </c>
      <c r="F376" s="16" t="s">
        <v>202</v>
      </c>
      <c r="G376" s="16" t="s">
        <v>202</v>
      </c>
      <c r="H376" s="16" t="s">
        <v>202</v>
      </c>
      <c r="I376" s="313" t="s">
        <v>202</v>
      </c>
      <c r="J376" s="16" t="s">
        <v>202</v>
      </c>
      <c r="K376" s="16" t="s">
        <v>202</v>
      </c>
      <c r="L376" s="16" t="s">
        <v>202</v>
      </c>
      <c r="M376" s="313" t="s">
        <v>202</v>
      </c>
      <c r="N376" s="16" t="s">
        <v>202</v>
      </c>
      <c r="O376" s="16" t="s">
        <v>202</v>
      </c>
      <c r="P376" s="16" t="s">
        <v>202</v>
      </c>
      <c r="Q376" s="313" t="s">
        <v>202</v>
      </c>
      <c r="R376" s="16" t="s">
        <v>202</v>
      </c>
      <c r="S376" s="16" t="s">
        <v>202</v>
      </c>
      <c r="T376" s="16" t="s">
        <v>202</v>
      </c>
    </row>
    <row r="377" spans="1:20" ht="39.950000000000003" customHeight="1" x14ac:dyDescent="0.25">
      <c r="A377" s="17"/>
      <c r="B377" s="18"/>
      <c r="C377" s="313"/>
      <c r="D377" s="313"/>
      <c r="E377" s="313" t="s">
        <v>202</v>
      </c>
      <c r="F377" s="16" t="s">
        <v>202</v>
      </c>
      <c r="G377" s="16" t="s">
        <v>202</v>
      </c>
      <c r="H377" s="16" t="s">
        <v>202</v>
      </c>
      <c r="I377" s="313" t="s">
        <v>202</v>
      </c>
      <c r="J377" s="16" t="s">
        <v>202</v>
      </c>
      <c r="K377" s="16" t="s">
        <v>202</v>
      </c>
      <c r="L377" s="16" t="s">
        <v>202</v>
      </c>
      <c r="M377" s="313" t="s">
        <v>202</v>
      </c>
      <c r="N377" s="16" t="s">
        <v>202</v>
      </c>
      <c r="O377" s="16" t="s">
        <v>202</v>
      </c>
      <c r="P377" s="16" t="s">
        <v>202</v>
      </c>
      <c r="Q377" s="313" t="s">
        <v>202</v>
      </c>
      <c r="R377" s="16" t="s">
        <v>202</v>
      </c>
      <c r="S377" s="16" t="s">
        <v>202</v>
      </c>
      <c r="T377" s="16" t="s">
        <v>202</v>
      </c>
    </row>
    <row r="378" spans="1:20" ht="39.950000000000003" customHeight="1" x14ac:dyDescent="0.25">
      <c r="A378" s="17"/>
      <c r="B378" s="18"/>
      <c r="C378" s="313"/>
      <c r="D378" s="313"/>
      <c r="E378" s="313" t="s">
        <v>202</v>
      </c>
      <c r="F378" s="16" t="s">
        <v>202</v>
      </c>
      <c r="G378" s="16" t="s">
        <v>202</v>
      </c>
      <c r="H378" s="16" t="s">
        <v>202</v>
      </c>
      <c r="I378" s="313" t="s">
        <v>202</v>
      </c>
      <c r="J378" s="16" t="s">
        <v>202</v>
      </c>
      <c r="K378" s="16" t="s">
        <v>202</v>
      </c>
      <c r="L378" s="16" t="s">
        <v>202</v>
      </c>
      <c r="M378" s="313" t="s">
        <v>202</v>
      </c>
      <c r="N378" s="16" t="s">
        <v>202</v>
      </c>
      <c r="O378" s="16" t="s">
        <v>202</v>
      </c>
      <c r="P378" s="16" t="s">
        <v>202</v>
      </c>
      <c r="Q378" s="313" t="s">
        <v>202</v>
      </c>
      <c r="R378" s="16" t="s">
        <v>202</v>
      </c>
      <c r="S378" s="16" t="s">
        <v>202</v>
      </c>
      <c r="T378" s="16" t="s">
        <v>202</v>
      </c>
    </row>
    <row r="379" spans="1:20" ht="39.950000000000003" customHeight="1" x14ac:dyDescent="0.25">
      <c r="A379" s="17"/>
      <c r="B379" s="18"/>
      <c r="C379" s="313"/>
      <c r="D379" s="313"/>
      <c r="E379" s="313" t="s">
        <v>202</v>
      </c>
      <c r="F379" s="16" t="s">
        <v>202</v>
      </c>
      <c r="G379" s="16" t="s">
        <v>202</v>
      </c>
      <c r="H379" s="16" t="s">
        <v>202</v>
      </c>
      <c r="I379" s="313" t="s">
        <v>202</v>
      </c>
      <c r="J379" s="16" t="s">
        <v>202</v>
      </c>
      <c r="K379" s="16" t="s">
        <v>202</v>
      </c>
      <c r="L379" s="16" t="s">
        <v>202</v>
      </c>
      <c r="M379" s="313" t="s">
        <v>202</v>
      </c>
      <c r="N379" s="16" t="s">
        <v>202</v>
      </c>
      <c r="O379" s="16" t="s">
        <v>202</v>
      </c>
      <c r="P379" s="16" t="s">
        <v>202</v>
      </c>
      <c r="Q379" s="313" t="s">
        <v>202</v>
      </c>
      <c r="R379" s="16" t="s">
        <v>202</v>
      </c>
      <c r="S379" s="16" t="s">
        <v>202</v>
      </c>
      <c r="T379" s="16" t="s">
        <v>202</v>
      </c>
    </row>
    <row r="380" spans="1:20" ht="39.950000000000003" customHeight="1" x14ac:dyDescent="0.25">
      <c r="A380" s="17"/>
      <c r="B380" s="18"/>
      <c r="C380" s="313"/>
      <c r="D380" s="313"/>
      <c r="E380" s="313" t="s">
        <v>202</v>
      </c>
      <c r="F380" s="16" t="s">
        <v>202</v>
      </c>
      <c r="G380" s="16" t="s">
        <v>202</v>
      </c>
      <c r="H380" s="16" t="s">
        <v>202</v>
      </c>
      <c r="I380" s="313" t="s">
        <v>202</v>
      </c>
      <c r="J380" s="16" t="s">
        <v>202</v>
      </c>
      <c r="K380" s="16" t="s">
        <v>202</v>
      </c>
      <c r="L380" s="16" t="s">
        <v>202</v>
      </c>
      <c r="M380" s="313" t="s">
        <v>202</v>
      </c>
      <c r="N380" s="16" t="s">
        <v>202</v>
      </c>
      <c r="O380" s="16" t="s">
        <v>202</v>
      </c>
      <c r="P380" s="16" t="s">
        <v>202</v>
      </c>
      <c r="Q380" s="313" t="s">
        <v>202</v>
      </c>
      <c r="R380" s="16" t="s">
        <v>202</v>
      </c>
      <c r="S380" s="16" t="s">
        <v>202</v>
      </c>
      <c r="T380" s="16" t="s">
        <v>202</v>
      </c>
    </row>
    <row r="381" spans="1:20" ht="39.950000000000003" customHeight="1" x14ac:dyDescent="0.25">
      <c r="A381" s="17"/>
      <c r="B381" s="18"/>
      <c r="C381" s="313"/>
      <c r="D381" s="313"/>
      <c r="E381" s="313" t="s">
        <v>202</v>
      </c>
      <c r="F381" s="16" t="s">
        <v>202</v>
      </c>
      <c r="G381" s="16" t="s">
        <v>202</v>
      </c>
      <c r="H381" s="16" t="s">
        <v>202</v>
      </c>
      <c r="I381" s="313" t="s">
        <v>202</v>
      </c>
      <c r="J381" s="16" t="s">
        <v>202</v>
      </c>
      <c r="K381" s="16" t="s">
        <v>202</v>
      </c>
      <c r="L381" s="16" t="s">
        <v>202</v>
      </c>
      <c r="M381" s="313" t="s">
        <v>202</v>
      </c>
      <c r="N381" s="16" t="s">
        <v>202</v>
      </c>
      <c r="O381" s="16" t="s">
        <v>202</v>
      </c>
      <c r="P381" s="16" t="s">
        <v>202</v>
      </c>
      <c r="Q381" s="313" t="s">
        <v>202</v>
      </c>
      <c r="R381" s="16" t="s">
        <v>202</v>
      </c>
      <c r="S381" s="16" t="s">
        <v>202</v>
      </c>
      <c r="T381" s="16" t="s">
        <v>202</v>
      </c>
    </row>
    <row r="382" spans="1:20" ht="39.950000000000003" customHeight="1" x14ac:dyDescent="0.25">
      <c r="A382" s="17"/>
      <c r="B382" s="18"/>
      <c r="C382" s="313"/>
      <c r="D382" s="313"/>
      <c r="E382" s="313" t="s">
        <v>202</v>
      </c>
      <c r="F382" s="16" t="s">
        <v>202</v>
      </c>
      <c r="G382" s="16" t="s">
        <v>202</v>
      </c>
      <c r="H382" s="16" t="s">
        <v>202</v>
      </c>
      <c r="I382" s="313" t="s">
        <v>202</v>
      </c>
      <c r="J382" s="16" t="s">
        <v>202</v>
      </c>
      <c r="K382" s="16" t="s">
        <v>202</v>
      </c>
      <c r="L382" s="16" t="s">
        <v>202</v>
      </c>
      <c r="M382" s="313" t="s">
        <v>202</v>
      </c>
      <c r="N382" s="16" t="s">
        <v>202</v>
      </c>
      <c r="O382" s="16" t="s">
        <v>202</v>
      </c>
      <c r="P382" s="16" t="s">
        <v>202</v>
      </c>
      <c r="Q382" s="313" t="s">
        <v>202</v>
      </c>
      <c r="R382" s="16" t="s">
        <v>202</v>
      </c>
      <c r="S382" s="16" t="s">
        <v>202</v>
      </c>
      <c r="T382" s="16" t="s">
        <v>202</v>
      </c>
    </row>
    <row r="383" spans="1:20" ht="39.950000000000003" customHeight="1" x14ac:dyDescent="0.25">
      <c r="A383" s="17"/>
      <c r="B383" s="18"/>
      <c r="C383" s="313"/>
      <c r="D383" s="313"/>
      <c r="E383" s="313" t="s">
        <v>202</v>
      </c>
      <c r="F383" s="16" t="s">
        <v>202</v>
      </c>
      <c r="G383" s="16" t="s">
        <v>202</v>
      </c>
      <c r="H383" s="16" t="s">
        <v>202</v>
      </c>
      <c r="I383" s="313" t="s">
        <v>202</v>
      </c>
      <c r="J383" s="16" t="s">
        <v>202</v>
      </c>
      <c r="K383" s="16" t="s">
        <v>202</v>
      </c>
      <c r="L383" s="16" t="s">
        <v>202</v>
      </c>
      <c r="M383" s="313" t="s">
        <v>202</v>
      </c>
      <c r="N383" s="16" t="s">
        <v>202</v>
      </c>
      <c r="O383" s="16" t="s">
        <v>202</v>
      </c>
      <c r="P383" s="16" t="s">
        <v>202</v>
      </c>
      <c r="Q383" s="313" t="s">
        <v>202</v>
      </c>
      <c r="R383" s="16" t="s">
        <v>202</v>
      </c>
      <c r="S383" s="16" t="s">
        <v>202</v>
      </c>
      <c r="T383" s="16" t="s">
        <v>202</v>
      </c>
    </row>
    <row r="384" spans="1:20" ht="39.950000000000003" customHeight="1" x14ac:dyDescent="0.25">
      <c r="A384" s="17"/>
      <c r="B384" s="18"/>
      <c r="C384" s="313"/>
      <c r="D384" s="313"/>
      <c r="E384" s="313" t="s">
        <v>202</v>
      </c>
      <c r="F384" s="16" t="s">
        <v>202</v>
      </c>
      <c r="G384" s="16" t="s">
        <v>202</v>
      </c>
      <c r="H384" s="16" t="s">
        <v>202</v>
      </c>
      <c r="I384" s="313" t="s">
        <v>202</v>
      </c>
      <c r="J384" s="16" t="s">
        <v>202</v>
      </c>
      <c r="K384" s="16" t="s">
        <v>202</v>
      </c>
      <c r="L384" s="16" t="s">
        <v>202</v>
      </c>
      <c r="M384" s="313" t="s">
        <v>202</v>
      </c>
      <c r="N384" s="16" t="s">
        <v>202</v>
      </c>
      <c r="O384" s="16" t="s">
        <v>202</v>
      </c>
      <c r="P384" s="16" t="s">
        <v>202</v>
      </c>
      <c r="Q384" s="313" t="s">
        <v>202</v>
      </c>
      <c r="R384" s="16" t="s">
        <v>202</v>
      </c>
      <c r="S384" s="16" t="s">
        <v>202</v>
      </c>
      <c r="T384" s="16" t="s">
        <v>202</v>
      </c>
    </row>
    <row r="385" spans="1:20" ht="39.950000000000003" customHeight="1" x14ac:dyDescent="0.25">
      <c r="A385" s="17"/>
      <c r="B385" s="18"/>
      <c r="C385" s="313"/>
      <c r="D385" s="313"/>
      <c r="E385" s="313" t="s">
        <v>202</v>
      </c>
      <c r="F385" s="16" t="s">
        <v>202</v>
      </c>
      <c r="G385" s="16" t="s">
        <v>202</v>
      </c>
      <c r="H385" s="16" t="s">
        <v>202</v>
      </c>
      <c r="I385" s="313" t="s">
        <v>202</v>
      </c>
      <c r="J385" s="16" t="s">
        <v>202</v>
      </c>
      <c r="K385" s="16" t="s">
        <v>202</v>
      </c>
      <c r="L385" s="16" t="s">
        <v>202</v>
      </c>
      <c r="M385" s="313" t="s">
        <v>202</v>
      </c>
      <c r="N385" s="16" t="s">
        <v>202</v>
      </c>
      <c r="O385" s="16" t="s">
        <v>202</v>
      </c>
      <c r="P385" s="16" t="s">
        <v>202</v>
      </c>
      <c r="Q385" s="313" t="s">
        <v>202</v>
      </c>
      <c r="R385" s="16" t="s">
        <v>202</v>
      </c>
      <c r="S385" s="16" t="s">
        <v>202</v>
      </c>
      <c r="T385" s="16" t="s">
        <v>202</v>
      </c>
    </row>
    <row r="386" spans="1:20" ht="39.950000000000003" customHeight="1" x14ac:dyDescent="0.25">
      <c r="A386" s="17"/>
      <c r="B386" s="18"/>
      <c r="C386" s="313"/>
      <c r="D386" s="313"/>
      <c r="E386" s="313" t="s">
        <v>202</v>
      </c>
      <c r="F386" s="16" t="s">
        <v>202</v>
      </c>
      <c r="G386" s="16" t="s">
        <v>202</v>
      </c>
      <c r="H386" s="16" t="s">
        <v>202</v>
      </c>
      <c r="I386" s="313" t="s">
        <v>202</v>
      </c>
      <c r="J386" s="16" t="s">
        <v>202</v>
      </c>
      <c r="K386" s="16" t="s">
        <v>202</v>
      </c>
      <c r="L386" s="16" t="s">
        <v>202</v>
      </c>
      <c r="M386" s="313" t="s">
        <v>202</v>
      </c>
      <c r="N386" s="16" t="s">
        <v>202</v>
      </c>
      <c r="O386" s="16" t="s">
        <v>202</v>
      </c>
      <c r="P386" s="16" t="s">
        <v>202</v>
      </c>
      <c r="Q386" s="313" t="s">
        <v>202</v>
      </c>
      <c r="R386" s="16" t="s">
        <v>202</v>
      </c>
      <c r="S386" s="16" t="s">
        <v>202</v>
      </c>
      <c r="T386" s="16" t="s">
        <v>202</v>
      </c>
    </row>
    <row r="387" spans="1:20" ht="39.950000000000003" customHeight="1" x14ac:dyDescent="0.25">
      <c r="A387" s="17"/>
      <c r="B387" s="18"/>
      <c r="C387" s="313"/>
      <c r="D387" s="313"/>
      <c r="E387" s="313" t="s">
        <v>202</v>
      </c>
      <c r="F387" s="16" t="s">
        <v>202</v>
      </c>
      <c r="G387" s="16" t="s">
        <v>202</v>
      </c>
      <c r="H387" s="16" t="s">
        <v>202</v>
      </c>
      <c r="I387" s="313" t="s">
        <v>202</v>
      </c>
      <c r="J387" s="16" t="s">
        <v>202</v>
      </c>
      <c r="K387" s="16" t="s">
        <v>202</v>
      </c>
      <c r="L387" s="16" t="s">
        <v>202</v>
      </c>
      <c r="M387" s="313" t="s">
        <v>202</v>
      </c>
      <c r="N387" s="16" t="s">
        <v>202</v>
      </c>
      <c r="O387" s="16" t="s">
        <v>202</v>
      </c>
      <c r="P387" s="16" t="s">
        <v>202</v>
      </c>
      <c r="Q387" s="313" t="s">
        <v>202</v>
      </c>
      <c r="R387" s="16" t="s">
        <v>202</v>
      </c>
      <c r="S387" s="16" t="s">
        <v>202</v>
      </c>
      <c r="T387" s="16" t="s">
        <v>202</v>
      </c>
    </row>
    <row r="388" spans="1:20" ht="39.950000000000003" customHeight="1" x14ac:dyDescent="0.25">
      <c r="A388" s="17"/>
      <c r="B388" s="18"/>
      <c r="C388" s="313"/>
      <c r="D388" s="313"/>
      <c r="E388" s="313" t="s">
        <v>202</v>
      </c>
      <c r="F388" s="16" t="s">
        <v>202</v>
      </c>
      <c r="G388" s="16" t="s">
        <v>202</v>
      </c>
      <c r="H388" s="16" t="s">
        <v>202</v>
      </c>
      <c r="I388" s="313" t="s">
        <v>202</v>
      </c>
      <c r="J388" s="16" t="s">
        <v>202</v>
      </c>
      <c r="K388" s="16" t="s">
        <v>202</v>
      </c>
      <c r="L388" s="16" t="s">
        <v>202</v>
      </c>
      <c r="M388" s="313" t="s">
        <v>202</v>
      </c>
      <c r="N388" s="16" t="s">
        <v>202</v>
      </c>
      <c r="O388" s="16" t="s">
        <v>202</v>
      </c>
      <c r="P388" s="16" t="s">
        <v>202</v>
      </c>
      <c r="Q388" s="313" t="s">
        <v>202</v>
      </c>
      <c r="R388" s="16" t="s">
        <v>202</v>
      </c>
      <c r="S388" s="16" t="s">
        <v>202</v>
      </c>
      <c r="T388" s="16" t="s">
        <v>202</v>
      </c>
    </row>
    <row r="389" spans="1:20" ht="39.950000000000003" customHeight="1" x14ac:dyDescent="0.25">
      <c r="A389" s="17"/>
      <c r="B389" s="18"/>
      <c r="C389" s="313"/>
      <c r="D389" s="313"/>
      <c r="E389" s="313" t="s">
        <v>202</v>
      </c>
      <c r="F389" s="16" t="s">
        <v>202</v>
      </c>
      <c r="G389" s="16" t="s">
        <v>202</v>
      </c>
      <c r="H389" s="16" t="s">
        <v>202</v>
      </c>
      <c r="I389" s="313" t="s">
        <v>202</v>
      </c>
      <c r="J389" s="16" t="s">
        <v>202</v>
      </c>
      <c r="K389" s="16" t="s">
        <v>202</v>
      </c>
      <c r="L389" s="16" t="s">
        <v>202</v>
      </c>
      <c r="M389" s="313" t="s">
        <v>202</v>
      </c>
      <c r="N389" s="16" t="s">
        <v>202</v>
      </c>
      <c r="O389" s="16" t="s">
        <v>202</v>
      </c>
      <c r="P389" s="16" t="s">
        <v>202</v>
      </c>
      <c r="Q389" s="313" t="s">
        <v>202</v>
      </c>
      <c r="R389" s="16" t="s">
        <v>202</v>
      </c>
      <c r="S389" s="16" t="s">
        <v>202</v>
      </c>
      <c r="T389" s="16" t="s">
        <v>202</v>
      </c>
    </row>
    <row r="390" spans="1:20" ht="39.950000000000003" customHeight="1" x14ac:dyDescent="0.25">
      <c r="A390" s="17"/>
      <c r="B390" s="18"/>
      <c r="C390" s="313"/>
      <c r="D390" s="313"/>
      <c r="E390" s="313" t="s">
        <v>202</v>
      </c>
      <c r="F390" s="16" t="s">
        <v>202</v>
      </c>
      <c r="G390" s="16" t="s">
        <v>202</v>
      </c>
      <c r="H390" s="16" t="s">
        <v>202</v>
      </c>
      <c r="I390" s="313" t="s">
        <v>202</v>
      </c>
      <c r="J390" s="16" t="s">
        <v>202</v>
      </c>
      <c r="K390" s="16" t="s">
        <v>202</v>
      </c>
      <c r="L390" s="16" t="s">
        <v>202</v>
      </c>
      <c r="M390" s="313" t="s">
        <v>202</v>
      </c>
      <c r="N390" s="16" t="s">
        <v>202</v>
      </c>
      <c r="O390" s="16" t="s">
        <v>202</v>
      </c>
      <c r="P390" s="16" t="s">
        <v>202</v>
      </c>
      <c r="Q390" s="313" t="s">
        <v>202</v>
      </c>
      <c r="R390" s="16" t="s">
        <v>202</v>
      </c>
      <c r="S390" s="16" t="s">
        <v>202</v>
      </c>
      <c r="T390" s="16" t="s">
        <v>202</v>
      </c>
    </row>
    <row r="391" spans="1:20" ht="39.950000000000003" customHeight="1" x14ac:dyDescent="0.25">
      <c r="A391" s="17"/>
      <c r="B391" s="18"/>
      <c r="C391" s="313"/>
      <c r="D391" s="313"/>
      <c r="E391" s="313" t="s">
        <v>202</v>
      </c>
      <c r="F391" s="16" t="s">
        <v>202</v>
      </c>
      <c r="G391" s="16" t="s">
        <v>202</v>
      </c>
      <c r="H391" s="16" t="s">
        <v>202</v>
      </c>
      <c r="I391" s="313" t="s">
        <v>202</v>
      </c>
      <c r="J391" s="16" t="s">
        <v>202</v>
      </c>
      <c r="K391" s="16" t="s">
        <v>202</v>
      </c>
      <c r="L391" s="16" t="s">
        <v>202</v>
      </c>
      <c r="M391" s="313" t="s">
        <v>202</v>
      </c>
      <c r="N391" s="16" t="s">
        <v>202</v>
      </c>
      <c r="O391" s="16" t="s">
        <v>202</v>
      </c>
      <c r="P391" s="16" t="s">
        <v>202</v>
      </c>
      <c r="Q391" s="313" t="s">
        <v>202</v>
      </c>
      <c r="R391" s="16" t="s">
        <v>202</v>
      </c>
      <c r="S391" s="16" t="s">
        <v>202</v>
      </c>
      <c r="T391" s="16" t="s">
        <v>202</v>
      </c>
    </row>
    <row r="392" spans="1:20" ht="39.950000000000003" customHeight="1" x14ac:dyDescent="0.25">
      <c r="A392" s="17"/>
      <c r="B392" s="18"/>
      <c r="C392" s="313"/>
      <c r="D392" s="313"/>
      <c r="E392" s="313" t="s">
        <v>202</v>
      </c>
      <c r="F392" s="16" t="s">
        <v>202</v>
      </c>
      <c r="G392" s="16" t="s">
        <v>202</v>
      </c>
      <c r="H392" s="16" t="s">
        <v>202</v>
      </c>
      <c r="I392" s="313" t="s">
        <v>202</v>
      </c>
      <c r="J392" s="16" t="s">
        <v>202</v>
      </c>
      <c r="K392" s="16" t="s">
        <v>202</v>
      </c>
      <c r="L392" s="16" t="s">
        <v>202</v>
      </c>
      <c r="M392" s="313" t="s">
        <v>202</v>
      </c>
      <c r="N392" s="16" t="s">
        <v>202</v>
      </c>
      <c r="O392" s="16" t="s">
        <v>202</v>
      </c>
      <c r="P392" s="16" t="s">
        <v>202</v>
      </c>
      <c r="Q392" s="313" t="s">
        <v>202</v>
      </c>
      <c r="R392" s="16" t="s">
        <v>202</v>
      </c>
      <c r="S392" s="16" t="s">
        <v>202</v>
      </c>
      <c r="T392" s="16" t="s">
        <v>202</v>
      </c>
    </row>
    <row r="393" spans="1:20" ht="39.950000000000003" customHeight="1" x14ac:dyDescent="0.25">
      <c r="A393" s="17"/>
      <c r="B393" s="18"/>
      <c r="C393" s="313"/>
      <c r="D393" s="313"/>
      <c r="E393" s="313" t="s">
        <v>202</v>
      </c>
      <c r="F393" s="16" t="s">
        <v>202</v>
      </c>
      <c r="G393" s="16" t="s">
        <v>202</v>
      </c>
      <c r="H393" s="16" t="s">
        <v>202</v>
      </c>
      <c r="I393" s="313" t="s">
        <v>202</v>
      </c>
      <c r="J393" s="16" t="s">
        <v>202</v>
      </c>
      <c r="K393" s="16" t="s">
        <v>202</v>
      </c>
      <c r="L393" s="16" t="s">
        <v>202</v>
      </c>
      <c r="M393" s="313" t="s">
        <v>202</v>
      </c>
      <c r="N393" s="16" t="s">
        <v>202</v>
      </c>
      <c r="O393" s="16" t="s">
        <v>202</v>
      </c>
      <c r="P393" s="16" t="s">
        <v>202</v>
      </c>
      <c r="Q393" s="313" t="s">
        <v>202</v>
      </c>
      <c r="R393" s="16" t="s">
        <v>202</v>
      </c>
      <c r="S393" s="16" t="s">
        <v>202</v>
      </c>
      <c r="T393" s="16" t="s">
        <v>202</v>
      </c>
    </row>
    <row r="394" spans="1:20" ht="39.950000000000003" customHeight="1" x14ac:dyDescent="0.25">
      <c r="A394" s="17"/>
      <c r="B394" s="18"/>
      <c r="C394" s="313"/>
      <c r="D394" s="313"/>
      <c r="E394" s="313" t="s">
        <v>202</v>
      </c>
      <c r="F394" s="16" t="s">
        <v>202</v>
      </c>
      <c r="G394" s="16" t="s">
        <v>202</v>
      </c>
      <c r="H394" s="16" t="s">
        <v>202</v>
      </c>
      <c r="I394" s="313" t="s">
        <v>202</v>
      </c>
      <c r="J394" s="16" t="s">
        <v>202</v>
      </c>
      <c r="K394" s="16" t="s">
        <v>202</v>
      </c>
      <c r="L394" s="16" t="s">
        <v>202</v>
      </c>
      <c r="M394" s="313" t="s">
        <v>202</v>
      </c>
      <c r="N394" s="16" t="s">
        <v>202</v>
      </c>
      <c r="O394" s="16" t="s">
        <v>202</v>
      </c>
      <c r="P394" s="16" t="s">
        <v>202</v>
      </c>
      <c r="Q394" s="313" t="s">
        <v>202</v>
      </c>
      <c r="R394" s="16" t="s">
        <v>202</v>
      </c>
      <c r="S394" s="16" t="s">
        <v>202</v>
      </c>
      <c r="T394" s="16" t="s">
        <v>202</v>
      </c>
    </row>
    <row r="395" spans="1:20" ht="39.950000000000003" customHeight="1" x14ac:dyDescent="0.25">
      <c r="A395" s="17"/>
      <c r="B395" s="18"/>
      <c r="C395" s="313"/>
      <c r="D395" s="313"/>
      <c r="E395" s="313" t="s">
        <v>202</v>
      </c>
      <c r="F395" s="16" t="s">
        <v>202</v>
      </c>
      <c r="G395" s="16" t="s">
        <v>202</v>
      </c>
      <c r="H395" s="16" t="s">
        <v>202</v>
      </c>
      <c r="I395" s="313" t="s">
        <v>202</v>
      </c>
      <c r="J395" s="16" t="s">
        <v>202</v>
      </c>
      <c r="K395" s="16" t="s">
        <v>202</v>
      </c>
      <c r="L395" s="16" t="s">
        <v>202</v>
      </c>
      <c r="M395" s="313" t="s">
        <v>202</v>
      </c>
      <c r="N395" s="16" t="s">
        <v>202</v>
      </c>
      <c r="O395" s="16" t="s">
        <v>202</v>
      </c>
      <c r="P395" s="16" t="s">
        <v>202</v>
      </c>
      <c r="Q395" s="313" t="s">
        <v>202</v>
      </c>
      <c r="R395" s="16" t="s">
        <v>202</v>
      </c>
      <c r="S395" s="16" t="s">
        <v>202</v>
      </c>
      <c r="T395" s="16" t="s">
        <v>202</v>
      </c>
    </row>
    <row r="396" spans="1:20" ht="39.950000000000003" customHeight="1" x14ac:dyDescent="0.25">
      <c r="A396" s="17"/>
      <c r="B396" s="18"/>
      <c r="C396" s="313"/>
      <c r="D396" s="313"/>
      <c r="E396" s="313" t="s">
        <v>202</v>
      </c>
      <c r="F396" s="16" t="s">
        <v>202</v>
      </c>
      <c r="G396" s="16" t="s">
        <v>202</v>
      </c>
      <c r="H396" s="16" t="s">
        <v>202</v>
      </c>
      <c r="I396" s="313" t="s">
        <v>202</v>
      </c>
      <c r="J396" s="16" t="s">
        <v>202</v>
      </c>
      <c r="K396" s="16" t="s">
        <v>202</v>
      </c>
      <c r="L396" s="16" t="s">
        <v>202</v>
      </c>
      <c r="M396" s="313" t="s">
        <v>202</v>
      </c>
      <c r="N396" s="16" t="s">
        <v>202</v>
      </c>
      <c r="O396" s="16" t="s">
        <v>202</v>
      </c>
      <c r="P396" s="16" t="s">
        <v>202</v>
      </c>
      <c r="Q396" s="313" t="s">
        <v>202</v>
      </c>
      <c r="R396" s="16" t="s">
        <v>202</v>
      </c>
      <c r="S396" s="16" t="s">
        <v>202</v>
      </c>
      <c r="T396" s="16" t="s">
        <v>202</v>
      </c>
    </row>
    <row r="397" spans="1:20" ht="39.950000000000003" customHeight="1" x14ac:dyDescent="0.25">
      <c r="A397" s="17"/>
      <c r="B397" s="18"/>
      <c r="C397" s="313"/>
      <c r="D397" s="313"/>
      <c r="E397" s="313" t="s">
        <v>202</v>
      </c>
      <c r="F397" s="16" t="s">
        <v>202</v>
      </c>
      <c r="G397" s="16" t="s">
        <v>202</v>
      </c>
      <c r="H397" s="16" t="s">
        <v>202</v>
      </c>
      <c r="I397" s="313" t="s">
        <v>202</v>
      </c>
      <c r="J397" s="16" t="s">
        <v>202</v>
      </c>
      <c r="K397" s="16" t="s">
        <v>202</v>
      </c>
      <c r="L397" s="16" t="s">
        <v>202</v>
      </c>
      <c r="M397" s="313" t="s">
        <v>202</v>
      </c>
      <c r="N397" s="16" t="s">
        <v>202</v>
      </c>
      <c r="O397" s="16" t="s">
        <v>202</v>
      </c>
      <c r="P397" s="16" t="s">
        <v>202</v>
      </c>
      <c r="Q397" s="313" t="s">
        <v>202</v>
      </c>
      <c r="R397" s="16" t="s">
        <v>202</v>
      </c>
      <c r="S397" s="16" t="s">
        <v>202</v>
      </c>
      <c r="T397" s="16" t="s">
        <v>202</v>
      </c>
    </row>
    <row r="398" spans="1:20" ht="39.950000000000003" customHeight="1" x14ac:dyDescent="0.25">
      <c r="A398" s="17"/>
      <c r="B398" s="18"/>
      <c r="C398" s="313"/>
      <c r="D398" s="313"/>
      <c r="E398" s="313" t="s">
        <v>202</v>
      </c>
      <c r="F398" s="16" t="s">
        <v>202</v>
      </c>
      <c r="G398" s="16" t="s">
        <v>202</v>
      </c>
      <c r="H398" s="16" t="s">
        <v>202</v>
      </c>
      <c r="I398" s="313" t="s">
        <v>202</v>
      </c>
      <c r="J398" s="16" t="s">
        <v>202</v>
      </c>
      <c r="K398" s="16" t="s">
        <v>202</v>
      </c>
      <c r="L398" s="16" t="s">
        <v>202</v>
      </c>
      <c r="M398" s="313" t="s">
        <v>202</v>
      </c>
      <c r="N398" s="16" t="s">
        <v>202</v>
      </c>
      <c r="O398" s="16" t="s">
        <v>202</v>
      </c>
      <c r="P398" s="16" t="s">
        <v>202</v>
      </c>
      <c r="Q398" s="313" t="s">
        <v>202</v>
      </c>
      <c r="R398" s="16" t="s">
        <v>202</v>
      </c>
      <c r="S398" s="16" t="s">
        <v>202</v>
      </c>
      <c r="T398" s="16" t="s">
        <v>202</v>
      </c>
    </row>
    <row r="399" spans="1:20" ht="39.950000000000003" customHeight="1" x14ac:dyDescent="0.25">
      <c r="A399" s="17"/>
      <c r="B399" s="18"/>
      <c r="C399" s="313"/>
      <c r="D399" s="313"/>
      <c r="E399" s="313" t="s">
        <v>202</v>
      </c>
      <c r="F399" s="16" t="s">
        <v>202</v>
      </c>
      <c r="G399" s="16" t="s">
        <v>202</v>
      </c>
      <c r="H399" s="16" t="s">
        <v>202</v>
      </c>
      <c r="I399" s="313" t="s">
        <v>202</v>
      </c>
      <c r="J399" s="16" t="s">
        <v>202</v>
      </c>
      <c r="K399" s="16" t="s">
        <v>202</v>
      </c>
      <c r="L399" s="16" t="s">
        <v>202</v>
      </c>
      <c r="M399" s="313" t="s">
        <v>202</v>
      </c>
      <c r="N399" s="16" t="s">
        <v>202</v>
      </c>
      <c r="O399" s="16" t="s">
        <v>202</v>
      </c>
      <c r="P399" s="16" t="s">
        <v>202</v>
      </c>
      <c r="Q399" s="313" t="s">
        <v>202</v>
      </c>
      <c r="R399" s="16" t="s">
        <v>202</v>
      </c>
      <c r="S399" s="16" t="s">
        <v>202</v>
      </c>
      <c r="T399" s="16" t="s">
        <v>202</v>
      </c>
    </row>
    <row r="400" spans="1:20" ht="39.950000000000003" customHeight="1" x14ac:dyDescent="0.25">
      <c r="A400" s="17"/>
      <c r="B400" s="18"/>
      <c r="C400" s="313"/>
      <c r="D400" s="313"/>
      <c r="E400" s="313" t="s">
        <v>202</v>
      </c>
      <c r="F400" s="16" t="s">
        <v>202</v>
      </c>
      <c r="G400" s="16" t="s">
        <v>202</v>
      </c>
      <c r="H400" s="16" t="s">
        <v>202</v>
      </c>
      <c r="I400" s="313" t="s">
        <v>202</v>
      </c>
      <c r="J400" s="16" t="s">
        <v>202</v>
      </c>
      <c r="K400" s="16" t="s">
        <v>202</v>
      </c>
      <c r="L400" s="16" t="s">
        <v>202</v>
      </c>
      <c r="M400" s="313" t="s">
        <v>202</v>
      </c>
      <c r="N400" s="16" t="s">
        <v>202</v>
      </c>
      <c r="O400" s="16" t="s">
        <v>202</v>
      </c>
      <c r="P400" s="16" t="s">
        <v>202</v>
      </c>
      <c r="Q400" s="313" t="s">
        <v>202</v>
      </c>
      <c r="R400" s="16" t="s">
        <v>202</v>
      </c>
      <c r="S400" s="16" t="s">
        <v>202</v>
      </c>
      <c r="T400" s="16" t="s">
        <v>202</v>
      </c>
    </row>
    <row r="401" spans="1:20" ht="39.950000000000003" customHeight="1" x14ac:dyDescent="0.25">
      <c r="A401" s="17"/>
      <c r="B401" s="18"/>
      <c r="C401" s="313"/>
      <c r="D401" s="313"/>
      <c r="E401" s="313" t="s">
        <v>202</v>
      </c>
      <c r="F401" s="16" t="s">
        <v>202</v>
      </c>
      <c r="G401" s="16" t="s">
        <v>202</v>
      </c>
      <c r="H401" s="16" t="s">
        <v>202</v>
      </c>
      <c r="I401" s="313" t="s">
        <v>202</v>
      </c>
      <c r="J401" s="16" t="s">
        <v>202</v>
      </c>
      <c r="K401" s="16" t="s">
        <v>202</v>
      </c>
      <c r="L401" s="16" t="s">
        <v>202</v>
      </c>
      <c r="M401" s="313" t="s">
        <v>202</v>
      </c>
      <c r="N401" s="16" t="s">
        <v>202</v>
      </c>
      <c r="O401" s="16" t="s">
        <v>202</v>
      </c>
      <c r="P401" s="16" t="s">
        <v>202</v>
      </c>
      <c r="Q401" s="313" t="s">
        <v>202</v>
      </c>
      <c r="R401" s="16" t="s">
        <v>202</v>
      </c>
      <c r="S401" s="16" t="s">
        <v>202</v>
      </c>
      <c r="T401" s="16" t="s">
        <v>202</v>
      </c>
    </row>
    <row r="402" spans="1:20" ht="39.950000000000003" customHeight="1" x14ac:dyDescent="0.25">
      <c r="A402" s="17"/>
      <c r="B402" s="18"/>
      <c r="C402" s="313"/>
      <c r="D402" s="313"/>
      <c r="E402" s="313" t="s">
        <v>202</v>
      </c>
      <c r="F402" s="16" t="s">
        <v>202</v>
      </c>
      <c r="G402" s="16" t="s">
        <v>202</v>
      </c>
      <c r="H402" s="16" t="s">
        <v>202</v>
      </c>
      <c r="I402" s="313" t="s">
        <v>202</v>
      </c>
      <c r="J402" s="16" t="s">
        <v>202</v>
      </c>
      <c r="K402" s="16" t="s">
        <v>202</v>
      </c>
      <c r="L402" s="16" t="s">
        <v>202</v>
      </c>
      <c r="M402" s="313" t="s">
        <v>202</v>
      </c>
      <c r="N402" s="16" t="s">
        <v>202</v>
      </c>
      <c r="O402" s="16" t="s">
        <v>202</v>
      </c>
      <c r="P402" s="16" t="s">
        <v>202</v>
      </c>
      <c r="Q402" s="313" t="s">
        <v>202</v>
      </c>
      <c r="R402" s="16" t="s">
        <v>202</v>
      </c>
      <c r="S402" s="16" t="s">
        <v>202</v>
      </c>
      <c r="T402" s="16" t="s">
        <v>202</v>
      </c>
    </row>
    <row r="403" spans="1:20" ht="39.950000000000003" customHeight="1" x14ac:dyDescent="0.25">
      <c r="A403" s="17"/>
      <c r="B403" s="18"/>
      <c r="C403" s="313"/>
      <c r="D403" s="313"/>
      <c r="E403" s="313" t="s">
        <v>202</v>
      </c>
      <c r="F403" s="16" t="s">
        <v>202</v>
      </c>
      <c r="G403" s="16" t="s">
        <v>202</v>
      </c>
      <c r="H403" s="16" t="s">
        <v>202</v>
      </c>
      <c r="I403" s="313" t="s">
        <v>202</v>
      </c>
      <c r="J403" s="16" t="s">
        <v>202</v>
      </c>
      <c r="K403" s="16" t="s">
        <v>202</v>
      </c>
      <c r="L403" s="16" t="s">
        <v>202</v>
      </c>
      <c r="M403" s="313" t="s">
        <v>202</v>
      </c>
      <c r="N403" s="16" t="s">
        <v>202</v>
      </c>
      <c r="O403" s="16" t="s">
        <v>202</v>
      </c>
      <c r="P403" s="16" t="s">
        <v>202</v>
      </c>
      <c r="Q403" s="313" t="s">
        <v>202</v>
      </c>
      <c r="R403" s="16" t="s">
        <v>202</v>
      </c>
      <c r="S403" s="16" t="s">
        <v>202</v>
      </c>
      <c r="T403" s="16" t="s">
        <v>202</v>
      </c>
    </row>
    <row r="404" spans="1:20" ht="39.950000000000003" customHeight="1" x14ac:dyDescent="0.25">
      <c r="A404" s="17"/>
      <c r="B404" s="18"/>
      <c r="C404" s="313"/>
      <c r="D404" s="313"/>
      <c r="E404" s="313" t="s">
        <v>202</v>
      </c>
      <c r="F404" s="16" t="s">
        <v>202</v>
      </c>
      <c r="G404" s="16" t="s">
        <v>202</v>
      </c>
      <c r="H404" s="16" t="s">
        <v>202</v>
      </c>
      <c r="I404" s="313" t="s">
        <v>202</v>
      </c>
      <c r="J404" s="16" t="s">
        <v>202</v>
      </c>
      <c r="K404" s="16" t="s">
        <v>202</v>
      </c>
      <c r="L404" s="16" t="s">
        <v>202</v>
      </c>
      <c r="M404" s="313" t="s">
        <v>202</v>
      </c>
      <c r="N404" s="16" t="s">
        <v>202</v>
      </c>
      <c r="O404" s="16" t="s">
        <v>202</v>
      </c>
      <c r="P404" s="16" t="s">
        <v>202</v>
      </c>
      <c r="Q404" s="313" t="s">
        <v>202</v>
      </c>
      <c r="R404" s="16" t="s">
        <v>202</v>
      </c>
      <c r="S404" s="16" t="s">
        <v>202</v>
      </c>
      <c r="T404" s="16" t="s">
        <v>202</v>
      </c>
    </row>
    <row r="405" spans="1:20" ht="39.950000000000003" customHeight="1" x14ac:dyDescent="0.25">
      <c r="A405" s="17"/>
      <c r="B405" s="18"/>
      <c r="C405" s="313"/>
      <c r="D405" s="313"/>
      <c r="E405" s="313" t="s">
        <v>202</v>
      </c>
      <c r="F405" s="16" t="s">
        <v>202</v>
      </c>
      <c r="G405" s="16" t="s">
        <v>202</v>
      </c>
      <c r="H405" s="16" t="s">
        <v>202</v>
      </c>
      <c r="I405" s="313" t="s">
        <v>202</v>
      </c>
      <c r="J405" s="16" t="s">
        <v>202</v>
      </c>
      <c r="K405" s="16" t="s">
        <v>202</v>
      </c>
      <c r="L405" s="16" t="s">
        <v>202</v>
      </c>
      <c r="M405" s="313" t="s">
        <v>202</v>
      </c>
      <c r="N405" s="16" t="s">
        <v>202</v>
      </c>
      <c r="O405" s="16" t="s">
        <v>202</v>
      </c>
      <c r="P405" s="16" t="s">
        <v>202</v>
      </c>
      <c r="Q405" s="313" t="s">
        <v>202</v>
      </c>
      <c r="R405" s="16" t="s">
        <v>202</v>
      </c>
      <c r="S405" s="16" t="s">
        <v>202</v>
      </c>
      <c r="T405" s="16" t="s">
        <v>202</v>
      </c>
    </row>
    <row r="406" spans="1:20" ht="39.950000000000003" customHeight="1" x14ac:dyDescent="0.25">
      <c r="A406" s="17"/>
      <c r="B406" s="18"/>
      <c r="C406" s="313"/>
      <c r="D406" s="313"/>
      <c r="E406" s="313" t="s">
        <v>202</v>
      </c>
      <c r="F406" s="16" t="s">
        <v>202</v>
      </c>
      <c r="G406" s="16" t="s">
        <v>202</v>
      </c>
      <c r="H406" s="16" t="s">
        <v>202</v>
      </c>
      <c r="I406" s="313" t="s">
        <v>202</v>
      </c>
      <c r="J406" s="16" t="s">
        <v>202</v>
      </c>
      <c r="K406" s="16" t="s">
        <v>202</v>
      </c>
      <c r="L406" s="16" t="s">
        <v>202</v>
      </c>
      <c r="M406" s="313" t="s">
        <v>202</v>
      </c>
      <c r="N406" s="16" t="s">
        <v>202</v>
      </c>
      <c r="O406" s="16" t="s">
        <v>202</v>
      </c>
      <c r="P406" s="16" t="s">
        <v>202</v>
      </c>
      <c r="Q406" s="313" t="s">
        <v>202</v>
      </c>
      <c r="R406" s="16" t="s">
        <v>202</v>
      </c>
      <c r="S406" s="16" t="s">
        <v>202</v>
      </c>
      <c r="T406" s="16" t="s">
        <v>202</v>
      </c>
    </row>
    <row r="407" spans="1:20" ht="39.950000000000003" customHeight="1" x14ac:dyDescent="0.25">
      <c r="A407" s="17"/>
      <c r="B407" s="18"/>
      <c r="C407" s="313"/>
      <c r="D407" s="313"/>
      <c r="E407" s="313" t="s">
        <v>202</v>
      </c>
      <c r="F407" s="16" t="s">
        <v>202</v>
      </c>
      <c r="G407" s="16" t="s">
        <v>202</v>
      </c>
      <c r="H407" s="16" t="s">
        <v>202</v>
      </c>
      <c r="I407" s="313" t="s">
        <v>202</v>
      </c>
      <c r="J407" s="16" t="s">
        <v>202</v>
      </c>
      <c r="K407" s="16" t="s">
        <v>202</v>
      </c>
      <c r="L407" s="16" t="s">
        <v>202</v>
      </c>
      <c r="M407" s="313" t="s">
        <v>202</v>
      </c>
      <c r="N407" s="16" t="s">
        <v>202</v>
      </c>
      <c r="O407" s="16" t="s">
        <v>202</v>
      </c>
      <c r="P407" s="16" t="s">
        <v>202</v>
      </c>
      <c r="Q407" s="313" t="s">
        <v>202</v>
      </c>
      <c r="R407" s="16" t="s">
        <v>202</v>
      </c>
      <c r="S407" s="16" t="s">
        <v>202</v>
      </c>
      <c r="T407" s="16" t="s">
        <v>202</v>
      </c>
    </row>
    <row r="408" spans="1:20" ht="39.950000000000003" customHeight="1" x14ac:dyDescent="0.25">
      <c r="A408" s="17"/>
      <c r="B408" s="18"/>
      <c r="C408" s="313"/>
      <c r="D408" s="313"/>
      <c r="E408" s="313" t="s">
        <v>202</v>
      </c>
      <c r="F408" s="16" t="s">
        <v>202</v>
      </c>
      <c r="G408" s="16" t="s">
        <v>202</v>
      </c>
      <c r="H408" s="16" t="s">
        <v>202</v>
      </c>
      <c r="I408" s="313" t="s">
        <v>202</v>
      </c>
      <c r="J408" s="16" t="s">
        <v>202</v>
      </c>
      <c r="K408" s="16" t="s">
        <v>202</v>
      </c>
      <c r="L408" s="16" t="s">
        <v>202</v>
      </c>
      <c r="M408" s="313" t="s">
        <v>202</v>
      </c>
      <c r="N408" s="16" t="s">
        <v>202</v>
      </c>
      <c r="O408" s="16" t="s">
        <v>202</v>
      </c>
      <c r="P408" s="16" t="s">
        <v>202</v>
      </c>
      <c r="Q408" s="313" t="s">
        <v>202</v>
      </c>
      <c r="R408" s="16" t="s">
        <v>202</v>
      </c>
      <c r="S408" s="16" t="s">
        <v>202</v>
      </c>
      <c r="T408" s="16" t="s">
        <v>202</v>
      </c>
    </row>
    <row r="409" spans="1:20" ht="39.950000000000003" customHeight="1" x14ac:dyDescent="0.25">
      <c r="A409" s="17"/>
      <c r="B409" s="18"/>
      <c r="C409" s="313"/>
      <c r="D409" s="313"/>
      <c r="E409" s="313" t="s">
        <v>202</v>
      </c>
      <c r="F409" s="16" t="s">
        <v>202</v>
      </c>
      <c r="G409" s="16" t="s">
        <v>202</v>
      </c>
      <c r="H409" s="16" t="s">
        <v>202</v>
      </c>
      <c r="I409" s="313" t="s">
        <v>202</v>
      </c>
      <c r="J409" s="16" t="s">
        <v>202</v>
      </c>
      <c r="K409" s="16" t="s">
        <v>202</v>
      </c>
      <c r="L409" s="16" t="s">
        <v>202</v>
      </c>
      <c r="M409" s="313" t="s">
        <v>202</v>
      </c>
      <c r="N409" s="16" t="s">
        <v>202</v>
      </c>
      <c r="O409" s="16" t="s">
        <v>202</v>
      </c>
      <c r="P409" s="16" t="s">
        <v>202</v>
      </c>
      <c r="Q409" s="313" t="s">
        <v>202</v>
      </c>
      <c r="R409" s="16" t="s">
        <v>202</v>
      </c>
      <c r="S409" s="16" t="s">
        <v>202</v>
      </c>
      <c r="T409" s="16" t="s">
        <v>202</v>
      </c>
    </row>
    <row r="410" spans="1:20" ht="39.950000000000003" customHeight="1" x14ac:dyDescent="0.25">
      <c r="A410" s="17"/>
      <c r="B410" s="18"/>
      <c r="C410" s="313"/>
      <c r="D410" s="313"/>
      <c r="E410" s="313" t="s">
        <v>202</v>
      </c>
      <c r="F410" s="16" t="s">
        <v>202</v>
      </c>
      <c r="G410" s="16" t="s">
        <v>202</v>
      </c>
      <c r="H410" s="16" t="s">
        <v>202</v>
      </c>
      <c r="I410" s="313" t="s">
        <v>202</v>
      </c>
      <c r="J410" s="16" t="s">
        <v>202</v>
      </c>
      <c r="K410" s="16" t="s">
        <v>202</v>
      </c>
      <c r="L410" s="16" t="s">
        <v>202</v>
      </c>
      <c r="M410" s="313" t="s">
        <v>202</v>
      </c>
      <c r="N410" s="16" t="s">
        <v>202</v>
      </c>
      <c r="O410" s="16" t="s">
        <v>202</v>
      </c>
      <c r="P410" s="16" t="s">
        <v>202</v>
      </c>
      <c r="Q410" s="313" t="s">
        <v>202</v>
      </c>
      <c r="R410" s="16" t="s">
        <v>202</v>
      </c>
      <c r="S410" s="16" t="s">
        <v>202</v>
      </c>
      <c r="T410" s="16" t="s">
        <v>202</v>
      </c>
    </row>
    <row r="411" spans="1:20" ht="39.950000000000003" customHeight="1" x14ac:dyDescent="0.25">
      <c r="A411" s="17"/>
      <c r="B411" s="18"/>
      <c r="C411" s="313"/>
      <c r="D411" s="313"/>
      <c r="E411" s="313" t="s">
        <v>202</v>
      </c>
      <c r="F411" s="16" t="s">
        <v>202</v>
      </c>
      <c r="G411" s="16" t="s">
        <v>202</v>
      </c>
      <c r="H411" s="16" t="s">
        <v>202</v>
      </c>
      <c r="I411" s="313" t="s">
        <v>202</v>
      </c>
      <c r="J411" s="16" t="s">
        <v>202</v>
      </c>
      <c r="K411" s="16" t="s">
        <v>202</v>
      </c>
      <c r="L411" s="16" t="s">
        <v>202</v>
      </c>
      <c r="M411" s="313" t="s">
        <v>202</v>
      </c>
      <c r="N411" s="16" t="s">
        <v>202</v>
      </c>
      <c r="O411" s="16" t="s">
        <v>202</v>
      </c>
      <c r="P411" s="16" t="s">
        <v>202</v>
      </c>
      <c r="Q411" s="313" t="s">
        <v>202</v>
      </c>
      <c r="R411" s="16" t="s">
        <v>202</v>
      </c>
      <c r="S411" s="16" t="s">
        <v>202</v>
      </c>
      <c r="T411" s="16" t="s">
        <v>202</v>
      </c>
    </row>
    <row r="412" spans="1:20" ht="39.950000000000003" customHeight="1" x14ac:dyDescent="0.25">
      <c r="A412" s="24"/>
      <c r="B412" s="312"/>
      <c r="C412" s="19"/>
      <c r="D412" s="19"/>
      <c r="E412" s="19" t="s">
        <v>202</v>
      </c>
      <c r="F412" s="20" t="s">
        <v>202</v>
      </c>
      <c r="G412" s="20" t="s">
        <v>202</v>
      </c>
      <c r="H412" s="20" t="s">
        <v>202</v>
      </c>
      <c r="I412" s="19" t="s">
        <v>202</v>
      </c>
      <c r="J412" s="20" t="s">
        <v>202</v>
      </c>
      <c r="K412" s="20" t="s">
        <v>202</v>
      </c>
      <c r="L412" s="20" t="s">
        <v>202</v>
      </c>
      <c r="M412" s="19" t="s">
        <v>202</v>
      </c>
      <c r="N412" s="20" t="s">
        <v>202</v>
      </c>
      <c r="O412" s="20" t="s">
        <v>202</v>
      </c>
      <c r="P412" s="20" t="s">
        <v>202</v>
      </c>
      <c r="Q412" s="19" t="s">
        <v>202</v>
      </c>
      <c r="R412" s="20" t="s">
        <v>202</v>
      </c>
      <c r="S412" s="20" t="s">
        <v>202</v>
      </c>
      <c r="T412" s="20" t="s">
        <v>202</v>
      </c>
    </row>
    <row r="425" spans="2:20" x14ac:dyDescent="0.25">
      <c r="B425" s="15"/>
      <c r="F425" s="15"/>
      <c r="G425" s="15"/>
      <c r="J425" s="15"/>
      <c r="M425" s="15"/>
      <c r="N425" s="15"/>
      <c r="O425" s="15"/>
      <c r="Q425" s="15"/>
      <c r="R425" s="15"/>
    </row>
    <row r="426" spans="2:20" x14ac:dyDescent="0.25">
      <c r="B426" s="15"/>
      <c r="F426" s="15"/>
      <c r="G426" s="15"/>
      <c r="J426" s="15"/>
      <c r="M426" s="15"/>
      <c r="N426" s="15"/>
      <c r="O426" s="15"/>
      <c r="Q426" s="15"/>
      <c r="R426" s="15"/>
    </row>
    <row r="427" spans="2:20" x14ac:dyDescent="0.25">
      <c r="B427" s="15"/>
      <c r="F427" s="15"/>
      <c r="G427" s="15"/>
      <c r="J427" s="15"/>
      <c r="M427" s="15"/>
      <c r="N427" s="15"/>
      <c r="O427" s="15"/>
      <c r="Q427" s="15"/>
      <c r="R427" s="15"/>
      <c r="S427" s="15"/>
      <c r="T427" s="15"/>
    </row>
    <row r="428" spans="2:20" x14ac:dyDescent="0.25">
      <c r="B428" s="15"/>
      <c r="F428" s="15"/>
      <c r="G428" s="15"/>
      <c r="J428" s="15"/>
      <c r="M428" s="15"/>
      <c r="N428" s="15"/>
      <c r="O428" s="15"/>
      <c r="Q428" s="15"/>
      <c r="R428" s="15"/>
      <c r="S428" s="15"/>
      <c r="T428" s="15"/>
    </row>
    <row r="429" spans="2:20" x14ac:dyDescent="0.25">
      <c r="B429" s="15"/>
      <c r="F429" s="15"/>
      <c r="G429" s="15"/>
      <c r="J429" s="15"/>
      <c r="M429" s="15"/>
      <c r="N429" s="15"/>
      <c r="O429" s="15"/>
      <c r="Q429" s="15"/>
      <c r="R429" s="15"/>
      <c r="S429" s="15"/>
      <c r="T429" s="15"/>
    </row>
    <row r="430" spans="2:20" x14ac:dyDescent="0.25">
      <c r="B430" s="15"/>
      <c r="F430" s="15"/>
      <c r="G430" s="15"/>
      <c r="J430" s="15"/>
      <c r="M430" s="15"/>
      <c r="N430" s="15"/>
      <c r="O430" s="15"/>
      <c r="Q430" s="15"/>
      <c r="R430" s="15"/>
      <c r="S430" s="15"/>
      <c r="T430" s="15"/>
    </row>
    <row r="431" spans="2:20" x14ac:dyDescent="0.25">
      <c r="B431" s="15"/>
      <c r="F431" s="15"/>
      <c r="G431" s="15"/>
      <c r="J431" s="15"/>
      <c r="M431" s="15"/>
      <c r="N431" s="15"/>
      <c r="O431" s="15"/>
      <c r="Q431" s="15"/>
      <c r="R431" s="15"/>
      <c r="S431" s="15"/>
      <c r="T431" s="15"/>
    </row>
    <row r="432" spans="2:20" x14ac:dyDescent="0.25">
      <c r="B432" s="15"/>
      <c r="F432" s="15"/>
      <c r="G432" s="15"/>
      <c r="J432" s="15"/>
      <c r="M432" s="15"/>
      <c r="N432" s="15"/>
      <c r="O432" s="15"/>
      <c r="Q432" s="15"/>
      <c r="R432" s="15"/>
      <c r="S432" s="15"/>
      <c r="T432" s="15"/>
    </row>
    <row r="433" spans="8:16" s="15" customFormat="1" x14ac:dyDescent="0.25">
      <c r="H433" s="22"/>
      <c r="K433" s="22"/>
      <c r="L433" s="22"/>
      <c r="P433" s="22"/>
    </row>
    <row r="434" spans="8:16" s="15" customFormat="1" x14ac:dyDescent="0.25">
      <c r="H434" s="22"/>
      <c r="K434" s="22"/>
      <c r="L434" s="22"/>
      <c r="P434" s="22"/>
    </row>
    <row r="435" spans="8:16" s="15" customFormat="1" x14ac:dyDescent="0.25">
      <c r="H435" s="22"/>
      <c r="K435" s="22"/>
      <c r="L435" s="22"/>
      <c r="P435" s="22"/>
    </row>
    <row r="436" spans="8:16" s="15" customFormat="1" x14ac:dyDescent="0.25">
      <c r="H436" s="22"/>
      <c r="K436" s="22"/>
      <c r="L436" s="22"/>
      <c r="P436" s="22"/>
    </row>
    <row r="437" spans="8:16" s="15" customFormat="1" x14ac:dyDescent="0.25">
      <c r="H437" s="22"/>
      <c r="K437" s="22"/>
      <c r="L437" s="22"/>
      <c r="P437" s="22"/>
    </row>
    <row r="438" spans="8:16" s="15" customFormat="1" x14ac:dyDescent="0.25">
      <c r="H438" s="22"/>
      <c r="K438" s="22"/>
      <c r="L438" s="22"/>
      <c r="P438" s="22"/>
    </row>
    <row r="439" spans="8:16" s="15" customFormat="1" x14ac:dyDescent="0.25">
      <c r="H439" s="22"/>
      <c r="K439" s="22"/>
      <c r="L439" s="22"/>
      <c r="P439" s="22"/>
    </row>
    <row r="440" spans="8:16" s="15" customFormat="1" x14ac:dyDescent="0.25">
      <c r="H440" s="22"/>
      <c r="K440" s="22"/>
      <c r="L440" s="22"/>
      <c r="P440" s="22"/>
    </row>
    <row r="441" spans="8:16" s="15" customFormat="1" x14ac:dyDescent="0.25">
      <c r="H441" s="22"/>
      <c r="K441" s="22"/>
      <c r="L441" s="22"/>
      <c r="P441" s="22"/>
    </row>
    <row r="442" spans="8:16" s="15" customFormat="1" x14ac:dyDescent="0.25">
      <c r="H442" s="22"/>
      <c r="K442" s="22"/>
      <c r="L442" s="22"/>
      <c r="P442" s="22"/>
    </row>
    <row r="443" spans="8:16" s="15" customFormat="1" x14ac:dyDescent="0.25">
      <c r="H443" s="22"/>
      <c r="K443" s="22"/>
      <c r="L443" s="22"/>
      <c r="P443" s="22"/>
    </row>
    <row r="444" spans="8:16" s="15" customFormat="1" x14ac:dyDescent="0.25">
      <c r="H444" s="22"/>
      <c r="K444" s="22"/>
      <c r="L444" s="22"/>
      <c r="P444" s="22"/>
    </row>
    <row r="445" spans="8:16" s="15" customFormat="1" x14ac:dyDescent="0.25">
      <c r="H445" s="22"/>
      <c r="K445" s="22"/>
      <c r="L445" s="22"/>
      <c r="P445" s="22"/>
    </row>
    <row r="446" spans="8:16" s="15" customFormat="1" x14ac:dyDescent="0.25">
      <c r="H446" s="22"/>
      <c r="K446" s="22"/>
      <c r="L446" s="22"/>
      <c r="P446" s="22"/>
    </row>
    <row r="447" spans="8:16" s="15" customFormat="1" x14ac:dyDescent="0.25">
      <c r="H447" s="22"/>
      <c r="K447" s="22"/>
      <c r="L447" s="22"/>
      <c r="P447" s="22"/>
    </row>
    <row r="448" spans="8:16" s="15" customFormat="1" x14ac:dyDescent="0.25">
      <c r="H448" s="22"/>
      <c r="K448" s="22"/>
      <c r="L448" s="22"/>
      <c r="P448" s="22"/>
    </row>
    <row r="449" spans="8:16" s="15" customFormat="1" x14ac:dyDescent="0.25">
      <c r="H449" s="22"/>
      <c r="K449" s="22"/>
      <c r="L449" s="22"/>
      <c r="P449" s="22"/>
    </row>
    <row r="450" spans="8:16" s="15" customFormat="1" x14ac:dyDescent="0.25">
      <c r="H450" s="22"/>
      <c r="K450" s="22"/>
      <c r="L450" s="22"/>
      <c r="P450" s="22"/>
    </row>
    <row r="451" spans="8:16" s="15" customFormat="1" x14ac:dyDescent="0.25">
      <c r="H451" s="22"/>
      <c r="K451" s="22"/>
      <c r="L451" s="22"/>
      <c r="P451" s="22"/>
    </row>
    <row r="452" spans="8:16" s="15" customFormat="1" x14ac:dyDescent="0.25">
      <c r="H452" s="22"/>
      <c r="K452" s="22"/>
      <c r="L452" s="22"/>
      <c r="P452" s="22"/>
    </row>
    <row r="453" spans="8:16" s="15" customFormat="1" x14ac:dyDescent="0.25">
      <c r="H453" s="22"/>
      <c r="K453" s="22"/>
      <c r="L453" s="22"/>
      <c r="P453" s="22"/>
    </row>
    <row r="454" spans="8:16" s="15" customFormat="1" x14ac:dyDescent="0.25">
      <c r="H454" s="22"/>
      <c r="K454" s="22"/>
      <c r="L454" s="22"/>
      <c r="P454" s="22"/>
    </row>
    <row r="455" spans="8:16" s="15" customFormat="1" x14ac:dyDescent="0.25">
      <c r="H455" s="22"/>
      <c r="K455" s="22"/>
      <c r="L455" s="22"/>
      <c r="P455" s="22"/>
    </row>
    <row r="456" spans="8:16" s="15" customFormat="1" x14ac:dyDescent="0.25">
      <c r="H456" s="22"/>
      <c r="K456" s="22"/>
      <c r="L456" s="22"/>
      <c r="P456" s="22"/>
    </row>
    <row r="457" spans="8:16" s="15" customFormat="1" x14ac:dyDescent="0.25">
      <c r="H457" s="22"/>
      <c r="K457" s="22"/>
      <c r="L457" s="22"/>
      <c r="P457" s="22"/>
    </row>
    <row r="458" spans="8:16" s="15" customFormat="1" x14ac:dyDescent="0.25">
      <c r="H458" s="22"/>
      <c r="K458" s="22"/>
      <c r="L458" s="22"/>
      <c r="P458" s="22"/>
    </row>
    <row r="459" spans="8:16" s="15" customFormat="1" x14ac:dyDescent="0.25">
      <c r="H459" s="22"/>
      <c r="K459" s="22"/>
      <c r="L459" s="22"/>
      <c r="P459" s="22"/>
    </row>
    <row r="460" spans="8:16" s="15" customFormat="1" x14ac:dyDescent="0.25">
      <c r="H460" s="22"/>
      <c r="K460" s="22"/>
      <c r="L460" s="22"/>
      <c r="P460" s="22"/>
    </row>
    <row r="461" spans="8:16" s="15" customFormat="1" x14ac:dyDescent="0.25">
      <c r="H461" s="22"/>
      <c r="K461" s="22"/>
      <c r="L461" s="22"/>
      <c r="P461" s="22"/>
    </row>
    <row r="462" spans="8:16" s="15" customFormat="1" x14ac:dyDescent="0.25">
      <c r="H462" s="22"/>
      <c r="K462" s="22"/>
      <c r="L462" s="22"/>
      <c r="P462" s="22"/>
    </row>
    <row r="463" spans="8:16" s="15" customFormat="1" x14ac:dyDescent="0.25">
      <c r="H463" s="22"/>
      <c r="K463" s="22"/>
      <c r="L463" s="22"/>
      <c r="P463" s="22"/>
    </row>
    <row r="464" spans="8:16" s="15" customFormat="1" x14ac:dyDescent="0.25">
      <c r="H464" s="22"/>
      <c r="K464" s="22"/>
      <c r="L464" s="22"/>
      <c r="P464" s="22"/>
    </row>
    <row r="465" spans="8:16" s="15" customFormat="1" x14ac:dyDescent="0.25">
      <c r="H465" s="22"/>
      <c r="K465" s="22"/>
      <c r="L465" s="22"/>
      <c r="P465" s="22"/>
    </row>
    <row r="466" spans="8:16" s="15" customFormat="1" x14ac:dyDescent="0.25">
      <c r="H466" s="22"/>
      <c r="K466" s="22"/>
      <c r="L466" s="22"/>
      <c r="P466" s="22"/>
    </row>
    <row r="467" spans="8:16" s="15" customFormat="1" x14ac:dyDescent="0.25">
      <c r="H467" s="22"/>
      <c r="K467" s="22"/>
      <c r="L467" s="22"/>
      <c r="P467" s="22"/>
    </row>
    <row r="468" spans="8:16" s="15" customFormat="1" x14ac:dyDescent="0.25">
      <c r="H468" s="22"/>
      <c r="K468" s="22"/>
      <c r="L468" s="22"/>
      <c r="P468" s="22"/>
    </row>
    <row r="469" spans="8:16" s="15" customFormat="1" x14ac:dyDescent="0.25">
      <c r="H469" s="22"/>
      <c r="K469" s="22"/>
      <c r="L469" s="22"/>
      <c r="P469" s="22"/>
    </row>
    <row r="470" spans="8:16" s="15" customFormat="1" x14ac:dyDescent="0.25">
      <c r="H470" s="22"/>
      <c r="K470" s="22"/>
      <c r="L470" s="22"/>
      <c r="P470" s="22"/>
    </row>
    <row r="471" spans="8:16" s="15" customFormat="1" x14ac:dyDescent="0.25">
      <c r="H471" s="22"/>
      <c r="K471" s="22"/>
      <c r="L471" s="22"/>
      <c r="P471" s="22"/>
    </row>
    <row r="472" spans="8:16" s="15" customFormat="1" x14ac:dyDescent="0.25">
      <c r="H472" s="22"/>
      <c r="K472" s="22"/>
      <c r="L472" s="22"/>
      <c r="P472" s="22"/>
    </row>
    <row r="473" spans="8:16" s="15" customFormat="1" x14ac:dyDescent="0.25">
      <c r="H473" s="22"/>
      <c r="K473" s="22"/>
      <c r="L473" s="22"/>
      <c r="P473" s="22"/>
    </row>
    <row r="474" spans="8:16" s="15" customFormat="1" x14ac:dyDescent="0.25">
      <c r="H474" s="22"/>
      <c r="K474" s="22"/>
      <c r="L474" s="22"/>
      <c r="P474" s="22"/>
    </row>
    <row r="475" spans="8:16" s="15" customFormat="1" x14ac:dyDescent="0.25">
      <c r="H475" s="22"/>
      <c r="K475" s="22"/>
      <c r="L475" s="22"/>
      <c r="P475" s="22"/>
    </row>
    <row r="476" spans="8:16" s="15" customFormat="1" x14ac:dyDescent="0.25">
      <c r="H476" s="22"/>
      <c r="K476" s="22"/>
      <c r="L476" s="22"/>
      <c r="P476" s="22"/>
    </row>
    <row r="477" spans="8:16" s="15" customFormat="1" x14ac:dyDescent="0.25">
      <c r="H477" s="22"/>
      <c r="K477" s="22"/>
      <c r="L477" s="22"/>
      <c r="P477" s="22"/>
    </row>
    <row r="478" spans="8:16" s="15" customFormat="1" x14ac:dyDescent="0.25">
      <c r="H478" s="22"/>
      <c r="K478" s="22"/>
      <c r="L478" s="22"/>
      <c r="P478" s="22"/>
    </row>
    <row r="479" spans="8:16" s="15" customFormat="1" x14ac:dyDescent="0.25">
      <c r="H479" s="22"/>
      <c r="K479" s="22"/>
      <c r="L479" s="22"/>
      <c r="P479" s="22"/>
    </row>
    <row r="480" spans="8:16" s="15" customFormat="1" x14ac:dyDescent="0.25">
      <c r="H480" s="22"/>
      <c r="K480" s="22"/>
      <c r="L480" s="22"/>
      <c r="P480" s="22"/>
    </row>
    <row r="481" spans="8:16" s="15" customFormat="1" x14ac:dyDescent="0.25">
      <c r="H481" s="22"/>
      <c r="K481" s="22"/>
      <c r="L481" s="22"/>
      <c r="P481" s="22"/>
    </row>
    <row r="482" spans="8:16" s="15" customFormat="1" x14ac:dyDescent="0.25">
      <c r="H482" s="22"/>
      <c r="K482" s="22"/>
      <c r="L482" s="22"/>
      <c r="P482" s="22"/>
    </row>
    <row r="483" spans="8:16" s="15" customFormat="1" x14ac:dyDescent="0.25">
      <c r="H483" s="22"/>
      <c r="K483" s="22"/>
      <c r="L483" s="22"/>
      <c r="P483" s="22"/>
    </row>
    <row r="484" spans="8:16" s="15" customFormat="1" x14ac:dyDescent="0.25">
      <c r="H484" s="22"/>
      <c r="K484" s="22"/>
      <c r="L484" s="22"/>
      <c r="P484" s="22"/>
    </row>
    <row r="485" spans="8:16" s="15" customFormat="1" x14ac:dyDescent="0.25">
      <c r="H485" s="22"/>
      <c r="K485" s="22"/>
      <c r="L485" s="22"/>
      <c r="P485" s="22"/>
    </row>
    <row r="486" spans="8:16" s="15" customFormat="1" x14ac:dyDescent="0.25">
      <c r="H486" s="22"/>
      <c r="K486" s="22"/>
      <c r="L486" s="22"/>
      <c r="P486" s="22"/>
    </row>
    <row r="487" spans="8:16" s="15" customFormat="1" x14ac:dyDescent="0.25">
      <c r="H487" s="22"/>
      <c r="K487" s="22"/>
      <c r="L487" s="22"/>
      <c r="P487" s="22"/>
    </row>
    <row r="488" spans="8:16" s="15" customFormat="1" x14ac:dyDescent="0.25">
      <c r="H488" s="22"/>
      <c r="K488" s="22"/>
      <c r="L488" s="22"/>
      <c r="P488" s="22"/>
    </row>
    <row r="489" spans="8:16" s="15" customFormat="1" x14ac:dyDescent="0.25">
      <c r="H489" s="22"/>
      <c r="K489" s="22"/>
      <c r="L489" s="22"/>
      <c r="P489" s="22"/>
    </row>
    <row r="490" spans="8:16" s="15" customFormat="1" x14ac:dyDescent="0.25">
      <c r="H490" s="22"/>
      <c r="K490" s="22"/>
      <c r="L490" s="22"/>
      <c r="P490" s="22"/>
    </row>
    <row r="491" spans="8:16" s="15" customFormat="1" x14ac:dyDescent="0.25">
      <c r="H491" s="22"/>
      <c r="K491" s="22"/>
      <c r="L491" s="22"/>
      <c r="P491" s="22"/>
    </row>
    <row r="492" spans="8:16" s="15" customFormat="1" x14ac:dyDescent="0.25">
      <c r="H492" s="22"/>
      <c r="K492" s="22"/>
      <c r="L492" s="22"/>
      <c r="P492" s="22"/>
    </row>
    <row r="493" spans="8:16" s="15" customFormat="1" x14ac:dyDescent="0.25">
      <c r="H493" s="22"/>
      <c r="K493" s="22"/>
      <c r="L493" s="22"/>
      <c r="P493" s="22"/>
    </row>
    <row r="494" spans="8:16" s="15" customFormat="1" x14ac:dyDescent="0.25">
      <c r="H494" s="22"/>
      <c r="K494" s="22"/>
      <c r="L494" s="22"/>
      <c r="P494" s="22"/>
    </row>
    <row r="495" spans="8:16" s="15" customFormat="1" x14ac:dyDescent="0.25">
      <c r="H495" s="22"/>
      <c r="K495" s="22"/>
      <c r="L495" s="22"/>
      <c r="P495" s="22"/>
    </row>
    <row r="496" spans="8:16" s="15" customFormat="1" x14ac:dyDescent="0.25">
      <c r="H496" s="22"/>
      <c r="K496" s="22"/>
      <c r="L496" s="22"/>
      <c r="P496" s="22"/>
    </row>
    <row r="497" spans="8:16" s="15" customFormat="1" x14ac:dyDescent="0.25">
      <c r="H497" s="22"/>
      <c r="K497" s="22"/>
      <c r="L497" s="22"/>
      <c r="P497" s="22"/>
    </row>
    <row r="498" spans="8:16" s="15" customFormat="1" x14ac:dyDescent="0.25">
      <c r="H498" s="22"/>
      <c r="K498" s="22"/>
      <c r="L498" s="22"/>
      <c r="P498" s="22"/>
    </row>
    <row r="499" spans="8:16" s="15" customFormat="1" x14ac:dyDescent="0.25">
      <c r="H499" s="22"/>
      <c r="K499" s="22"/>
      <c r="L499" s="22"/>
      <c r="P499" s="22"/>
    </row>
    <row r="500" spans="8:16" s="15" customFormat="1" x14ac:dyDescent="0.25">
      <c r="H500" s="22"/>
      <c r="K500" s="22"/>
      <c r="L500" s="22"/>
      <c r="P500" s="22"/>
    </row>
    <row r="501" spans="8:16" s="15" customFormat="1" x14ac:dyDescent="0.25">
      <c r="H501" s="22"/>
      <c r="K501" s="22"/>
      <c r="L501" s="22"/>
      <c r="P501" s="22"/>
    </row>
    <row r="502" spans="8:16" s="15" customFormat="1" x14ac:dyDescent="0.25">
      <c r="H502" s="22"/>
      <c r="K502" s="22"/>
      <c r="L502" s="22"/>
      <c r="P502" s="22"/>
    </row>
    <row r="503" spans="8:16" s="15" customFormat="1" x14ac:dyDescent="0.25">
      <c r="H503" s="22"/>
      <c r="K503" s="22"/>
      <c r="L503" s="22"/>
      <c r="P503" s="22"/>
    </row>
    <row r="504" spans="8:16" s="15" customFormat="1" x14ac:dyDescent="0.25">
      <c r="H504" s="22"/>
      <c r="K504" s="22"/>
      <c r="L504" s="22"/>
      <c r="P504" s="22"/>
    </row>
    <row r="505" spans="8:16" s="15" customFormat="1" x14ac:dyDescent="0.25">
      <c r="H505" s="22"/>
      <c r="K505" s="22"/>
      <c r="L505" s="22"/>
      <c r="P505" s="22"/>
    </row>
    <row r="506" spans="8:16" s="15" customFormat="1" x14ac:dyDescent="0.25">
      <c r="H506" s="22"/>
      <c r="K506" s="22"/>
      <c r="L506" s="22"/>
      <c r="P506" s="22"/>
    </row>
    <row r="507" spans="8:16" s="15" customFormat="1" x14ac:dyDescent="0.25">
      <c r="H507" s="22"/>
      <c r="K507" s="22"/>
      <c r="L507" s="22"/>
      <c r="P507" s="22"/>
    </row>
    <row r="508" spans="8:16" s="15" customFormat="1" x14ac:dyDescent="0.25">
      <c r="H508" s="22"/>
      <c r="K508" s="22"/>
      <c r="L508" s="22"/>
      <c r="P508" s="22"/>
    </row>
    <row r="509" spans="8:16" s="15" customFormat="1" x14ac:dyDescent="0.25">
      <c r="H509" s="22"/>
      <c r="K509" s="22"/>
      <c r="L509" s="22"/>
      <c r="P509" s="22"/>
    </row>
    <row r="510" spans="8:16" s="15" customFormat="1" x14ac:dyDescent="0.25">
      <c r="H510" s="22"/>
      <c r="K510" s="22"/>
      <c r="L510" s="22"/>
      <c r="P510" s="22"/>
    </row>
    <row r="511" spans="8:16" s="15" customFormat="1" x14ac:dyDescent="0.25">
      <c r="H511" s="22"/>
      <c r="K511" s="22"/>
      <c r="L511" s="22"/>
      <c r="P511" s="22"/>
    </row>
    <row r="512" spans="8:16" s="15" customFormat="1" x14ac:dyDescent="0.25">
      <c r="H512" s="22"/>
      <c r="K512" s="22"/>
      <c r="L512" s="22"/>
      <c r="P512" s="22"/>
    </row>
    <row r="513" spans="8:16" s="15" customFormat="1" x14ac:dyDescent="0.25">
      <c r="H513" s="22"/>
      <c r="K513" s="22"/>
      <c r="L513" s="22"/>
      <c r="P513" s="22"/>
    </row>
    <row r="514" spans="8:16" s="15" customFormat="1" x14ac:dyDescent="0.25">
      <c r="H514" s="22"/>
      <c r="K514" s="22"/>
      <c r="L514" s="22"/>
      <c r="P514" s="22"/>
    </row>
    <row r="515" spans="8:16" s="15" customFormat="1" x14ac:dyDescent="0.25">
      <c r="H515" s="22"/>
      <c r="K515" s="22"/>
      <c r="L515" s="22"/>
      <c r="P515" s="22"/>
    </row>
    <row r="516" spans="8:16" s="15" customFormat="1" x14ac:dyDescent="0.25">
      <c r="H516" s="22"/>
      <c r="K516" s="22"/>
      <c r="L516" s="22"/>
      <c r="P516" s="22"/>
    </row>
    <row r="517" spans="8:16" s="15" customFormat="1" x14ac:dyDescent="0.25">
      <c r="H517" s="22"/>
      <c r="K517" s="22"/>
      <c r="L517" s="22"/>
      <c r="P517" s="22"/>
    </row>
    <row r="518" spans="8:16" s="15" customFormat="1" x14ac:dyDescent="0.25">
      <c r="H518" s="22"/>
      <c r="K518" s="22"/>
      <c r="L518" s="22"/>
      <c r="P518" s="22"/>
    </row>
    <row r="519" spans="8:16" s="15" customFormat="1" x14ac:dyDescent="0.25">
      <c r="H519" s="22"/>
      <c r="K519" s="22"/>
      <c r="L519" s="22"/>
      <c r="P519" s="22"/>
    </row>
    <row r="520" spans="8:16" s="15" customFormat="1" x14ac:dyDescent="0.25">
      <c r="H520" s="22"/>
      <c r="K520" s="22"/>
      <c r="L520" s="22"/>
      <c r="P520" s="22"/>
    </row>
    <row r="521" spans="8:16" s="15" customFormat="1" x14ac:dyDescent="0.25">
      <c r="H521" s="22"/>
      <c r="K521" s="22"/>
      <c r="L521" s="22"/>
      <c r="P521" s="22"/>
    </row>
    <row r="522" spans="8:16" s="15" customFormat="1" x14ac:dyDescent="0.25">
      <c r="H522" s="22"/>
      <c r="K522" s="22"/>
      <c r="L522" s="22"/>
      <c r="P522" s="22"/>
    </row>
    <row r="523" spans="8:16" s="15" customFormat="1" x14ac:dyDescent="0.25">
      <c r="H523" s="22"/>
      <c r="K523" s="22"/>
      <c r="L523" s="22"/>
      <c r="P523" s="22"/>
    </row>
    <row r="524" spans="8:16" s="15" customFormat="1" x14ac:dyDescent="0.25">
      <c r="H524" s="22"/>
      <c r="K524" s="22"/>
      <c r="L524" s="22"/>
      <c r="P524" s="22"/>
    </row>
    <row r="525" spans="8:16" s="15" customFormat="1" x14ac:dyDescent="0.25">
      <c r="H525" s="22"/>
      <c r="K525" s="22"/>
      <c r="L525" s="22"/>
      <c r="P525" s="22"/>
    </row>
    <row r="526" spans="8:16" s="15" customFormat="1" x14ac:dyDescent="0.25">
      <c r="H526" s="22"/>
      <c r="K526" s="22"/>
      <c r="L526" s="22"/>
      <c r="P526" s="22"/>
    </row>
    <row r="527" spans="8:16" s="15" customFormat="1" x14ac:dyDescent="0.25">
      <c r="H527" s="22"/>
      <c r="K527" s="22"/>
      <c r="L527" s="22"/>
      <c r="P527" s="22"/>
    </row>
    <row r="528" spans="8:16" s="15" customFormat="1" x14ac:dyDescent="0.25">
      <c r="H528" s="22"/>
      <c r="K528" s="22"/>
      <c r="L528" s="22"/>
      <c r="P528" s="22"/>
    </row>
    <row r="529" spans="8:16" s="15" customFormat="1" x14ac:dyDescent="0.25">
      <c r="H529" s="22"/>
      <c r="K529" s="22"/>
      <c r="L529" s="22"/>
      <c r="P529" s="22"/>
    </row>
    <row r="530" spans="8:16" s="15" customFormat="1" x14ac:dyDescent="0.25">
      <c r="H530" s="22"/>
      <c r="K530" s="22"/>
      <c r="L530" s="22"/>
      <c r="P530" s="22"/>
    </row>
    <row r="531" spans="8:16" s="15" customFormat="1" x14ac:dyDescent="0.25">
      <c r="H531" s="22"/>
      <c r="K531" s="22"/>
      <c r="L531" s="22"/>
      <c r="P531" s="22"/>
    </row>
    <row r="532" spans="8:16" s="15" customFormat="1" x14ac:dyDescent="0.25">
      <c r="H532" s="22"/>
      <c r="K532" s="22"/>
      <c r="L532" s="22"/>
      <c r="P532" s="22"/>
    </row>
    <row r="533" spans="8:16" s="15" customFormat="1" x14ac:dyDescent="0.25">
      <c r="H533" s="22"/>
      <c r="K533" s="22"/>
      <c r="L533" s="22"/>
      <c r="P533" s="22"/>
    </row>
    <row r="534" spans="8:16" s="15" customFormat="1" x14ac:dyDescent="0.25">
      <c r="H534" s="22"/>
      <c r="K534" s="22"/>
      <c r="L534" s="22"/>
      <c r="P534" s="22"/>
    </row>
    <row r="535" spans="8:16" s="15" customFormat="1" x14ac:dyDescent="0.25">
      <c r="H535" s="22"/>
      <c r="K535" s="22"/>
      <c r="L535" s="22"/>
      <c r="P535" s="22"/>
    </row>
    <row r="536" spans="8:16" s="15" customFormat="1" x14ac:dyDescent="0.25">
      <c r="H536" s="22"/>
      <c r="K536" s="22"/>
      <c r="L536" s="22"/>
      <c r="P536" s="22"/>
    </row>
    <row r="537" spans="8:16" s="15" customFormat="1" x14ac:dyDescent="0.25">
      <c r="H537" s="22"/>
      <c r="K537" s="22"/>
      <c r="L537" s="22"/>
      <c r="P537" s="22"/>
    </row>
    <row r="538" spans="8:16" s="15" customFormat="1" x14ac:dyDescent="0.25">
      <c r="H538" s="22"/>
      <c r="K538" s="22"/>
      <c r="L538" s="22"/>
      <c r="P538" s="22"/>
    </row>
    <row r="539" spans="8:16" s="15" customFormat="1" x14ac:dyDescent="0.25">
      <c r="H539" s="22"/>
      <c r="K539" s="22"/>
      <c r="L539" s="22"/>
      <c r="P539" s="22"/>
    </row>
    <row r="540" spans="8:16" s="15" customFormat="1" x14ac:dyDescent="0.25">
      <c r="H540" s="22"/>
      <c r="K540" s="22"/>
      <c r="L540" s="22"/>
      <c r="P540" s="22"/>
    </row>
    <row r="541" spans="8:16" s="15" customFormat="1" x14ac:dyDescent="0.25">
      <c r="H541" s="22"/>
      <c r="K541" s="22"/>
      <c r="L541" s="22"/>
      <c r="P541" s="22"/>
    </row>
    <row r="542" spans="8:16" s="15" customFormat="1" x14ac:dyDescent="0.25">
      <c r="H542" s="22"/>
      <c r="K542" s="22"/>
      <c r="L542" s="22"/>
      <c r="P542" s="22"/>
    </row>
    <row r="543" spans="8:16" s="15" customFormat="1" x14ac:dyDescent="0.25">
      <c r="H543" s="22"/>
      <c r="K543" s="22"/>
      <c r="L543" s="22"/>
      <c r="P543" s="22"/>
    </row>
    <row r="544" spans="8:16" s="15" customFormat="1" x14ac:dyDescent="0.25">
      <c r="H544" s="22"/>
      <c r="K544" s="22"/>
      <c r="L544" s="22"/>
      <c r="P544" s="22"/>
    </row>
    <row r="545" spans="8:16" s="15" customFormat="1" x14ac:dyDescent="0.25">
      <c r="H545" s="22"/>
      <c r="K545" s="22"/>
      <c r="L545" s="22"/>
      <c r="P545" s="22"/>
    </row>
    <row r="546" spans="8:16" s="15" customFormat="1" x14ac:dyDescent="0.25">
      <c r="H546" s="22"/>
      <c r="K546" s="22"/>
      <c r="L546" s="22"/>
      <c r="P546" s="22"/>
    </row>
    <row r="547" spans="8:16" s="15" customFormat="1" x14ac:dyDescent="0.25">
      <c r="H547" s="22"/>
      <c r="K547" s="22"/>
      <c r="L547" s="22"/>
      <c r="P547" s="22"/>
    </row>
    <row r="548" spans="8:16" s="15" customFormat="1" x14ac:dyDescent="0.25">
      <c r="H548" s="22"/>
      <c r="K548" s="22"/>
      <c r="L548" s="22"/>
      <c r="P548" s="22"/>
    </row>
    <row r="549" spans="8:16" s="15" customFormat="1" x14ac:dyDescent="0.25">
      <c r="H549" s="22"/>
      <c r="K549" s="22"/>
      <c r="L549" s="22"/>
      <c r="P549" s="22"/>
    </row>
    <row r="550" spans="8:16" s="15" customFormat="1" x14ac:dyDescent="0.25">
      <c r="H550" s="22"/>
      <c r="K550" s="22"/>
      <c r="L550" s="22"/>
      <c r="P550" s="22"/>
    </row>
    <row r="551" spans="8:16" s="15" customFormat="1" x14ac:dyDescent="0.25">
      <c r="H551" s="22"/>
      <c r="K551" s="22"/>
      <c r="L551" s="22"/>
      <c r="P551" s="22"/>
    </row>
    <row r="552" spans="8:16" s="15" customFormat="1" x14ac:dyDescent="0.25">
      <c r="H552" s="22"/>
      <c r="K552" s="22"/>
      <c r="L552" s="22"/>
      <c r="P552" s="22"/>
    </row>
    <row r="553" spans="8:16" s="15" customFormat="1" x14ac:dyDescent="0.25">
      <c r="H553" s="22"/>
      <c r="K553" s="22"/>
      <c r="L553" s="22"/>
      <c r="P553" s="22"/>
    </row>
    <row r="554" spans="8:16" s="15" customFormat="1" x14ac:dyDescent="0.25">
      <c r="H554" s="22"/>
      <c r="K554" s="22"/>
      <c r="L554" s="22"/>
      <c r="P554" s="22"/>
    </row>
    <row r="555" spans="8:16" s="15" customFormat="1" x14ac:dyDescent="0.25">
      <c r="H555" s="22"/>
      <c r="K555" s="22"/>
      <c r="L555" s="22"/>
      <c r="P555" s="22"/>
    </row>
    <row r="556" spans="8:16" s="15" customFormat="1" x14ac:dyDescent="0.25">
      <c r="H556" s="22"/>
      <c r="K556" s="22"/>
      <c r="L556" s="22"/>
      <c r="P556" s="22"/>
    </row>
    <row r="557" spans="8:16" s="15" customFormat="1" x14ac:dyDescent="0.25">
      <c r="H557" s="22"/>
      <c r="K557" s="22"/>
      <c r="L557" s="22"/>
      <c r="P557" s="22"/>
    </row>
    <row r="558" spans="8:16" s="15" customFormat="1" x14ac:dyDescent="0.25">
      <c r="H558" s="22"/>
      <c r="K558" s="22"/>
      <c r="L558" s="22"/>
      <c r="P558" s="22"/>
    </row>
    <row r="559" spans="8:16" s="15" customFormat="1" x14ac:dyDescent="0.25">
      <c r="H559" s="22"/>
      <c r="K559" s="22"/>
      <c r="L559" s="22"/>
      <c r="P559" s="22"/>
    </row>
    <row r="560" spans="8:16" s="15" customFormat="1" x14ac:dyDescent="0.25">
      <c r="H560" s="22"/>
      <c r="K560" s="22"/>
      <c r="L560" s="22"/>
      <c r="P560" s="22"/>
    </row>
    <row r="561" spans="8:16" s="15" customFormat="1" x14ac:dyDescent="0.25">
      <c r="H561" s="22"/>
      <c r="K561" s="22"/>
      <c r="L561" s="22"/>
      <c r="P561" s="22"/>
    </row>
    <row r="562" spans="8:16" s="15" customFormat="1" x14ac:dyDescent="0.25">
      <c r="H562" s="22"/>
      <c r="K562" s="22"/>
      <c r="L562" s="22"/>
      <c r="P562" s="22"/>
    </row>
    <row r="563" spans="8:16" s="15" customFormat="1" x14ac:dyDescent="0.25">
      <c r="H563" s="22"/>
      <c r="K563" s="22"/>
      <c r="L563" s="22"/>
      <c r="P563" s="22"/>
    </row>
    <row r="564" spans="8:16" s="15" customFormat="1" x14ac:dyDescent="0.25">
      <c r="H564" s="22"/>
      <c r="K564" s="22"/>
      <c r="L564" s="22"/>
      <c r="P564" s="22"/>
    </row>
    <row r="565" spans="8:16" s="15" customFormat="1" x14ac:dyDescent="0.25">
      <c r="H565" s="22"/>
      <c r="K565" s="22"/>
      <c r="L565" s="22"/>
      <c r="P565" s="22"/>
    </row>
    <row r="566" spans="8:16" s="15" customFormat="1" x14ac:dyDescent="0.25">
      <c r="H566" s="22"/>
      <c r="K566" s="22"/>
      <c r="L566" s="22"/>
      <c r="P566" s="22"/>
    </row>
    <row r="567" spans="8:16" s="15" customFormat="1" x14ac:dyDescent="0.25">
      <c r="H567" s="22"/>
      <c r="K567" s="22"/>
      <c r="L567" s="22"/>
      <c r="P567" s="22"/>
    </row>
    <row r="568" spans="8:16" s="15" customFormat="1" x14ac:dyDescent="0.25">
      <c r="H568" s="22"/>
      <c r="K568" s="22"/>
      <c r="L568" s="22"/>
      <c r="P568" s="22"/>
    </row>
    <row r="569" spans="8:16" s="15" customFormat="1" x14ac:dyDescent="0.25">
      <c r="H569" s="22"/>
      <c r="K569" s="22"/>
      <c r="L569" s="22"/>
      <c r="P569" s="22"/>
    </row>
    <row r="570" spans="8:16" s="15" customFormat="1" x14ac:dyDescent="0.25">
      <c r="H570" s="22"/>
      <c r="K570" s="22"/>
      <c r="L570" s="22"/>
      <c r="P570" s="22"/>
    </row>
    <row r="571" spans="8:16" s="15" customFormat="1" x14ac:dyDescent="0.25">
      <c r="H571" s="22"/>
      <c r="K571" s="22"/>
      <c r="L571" s="22"/>
      <c r="P571" s="22"/>
    </row>
    <row r="572" spans="8:16" s="15" customFormat="1" x14ac:dyDescent="0.25">
      <c r="H572" s="22"/>
      <c r="K572" s="22"/>
      <c r="L572" s="22"/>
      <c r="P572" s="22"/>
    </row>
    <row r="573" spans="8:16" s="15" customFormat="1" x14ac:dyDescent="0.25">
      <c r="H573" s="22"/>
      <c r="K573" s="22"/>
      <c r="L573" s="22"/>
      <c r="P573" s="22"/>
    </row>
    <row r="574" spans="8:16" s="15" customFormat="1" x14ac:dyDescent="0.25">
      <c r="H574" s="22"/>
      <c r="K574" s="22"/>
      <c r="L574" s="22"/>
      <c r="P574" s="22"/>
    </row>
    <row r="575" spans="8:16" s="15" customFormat="1" x14ac:dyDescent="0.25">
      <c r="H575" s="22"/>
      <c r="K575" s="22"/>
      <c r="L575" s="22"/>
      <c r="P575" s="22"/>
    </row>
    <row r="576" spans="8:16" s="15" customFormat="1" x14ac:dyDescent="0.25">
      <c r="H576" s="22"/>
      <c r="K576" s="22"/>
      <c r="L576" s="22"/>
      <c r="P576" s="22"/>
    </row>
    <row r="577" spans="8:16" s="15" customFormat="1" x14ac:dyDescent="0.25">
      <c r="H577" s="22"/>
      <c r="K577" s="22"/>
      <c r="L577" s="22"/>
      <c r="P577" s="22"/>
    </row>
    <row r="578" spans="8:16" s="15" customFormat="1" x14ac:dyDescent="0.25">
      <c r="H578" s="22"/>
      <c r="K578" s="22"/>
      <c r="L578" s="22"/>
      <c r="P578" s="22"/>
    </row>
    <row r="579" spans="8:16" s="15" customFormat="1" x14ac:dyDescent="0.25">
      <c r="H579" s="22"/>
      <c r="K579" s="22"/>
      <c r="L579" s="22"/>
      <c r="P579" s="22"/>
    </row>
    <row r="580" spans="8:16" s="15" customFormat="1" x14ac:dyDescent="0.25">
      <c r="H580" s="22"/>
      <c r="K580" s="22"/>
      <c r="L580" s="22"/>
      <c r="P580" s="22"/>
    </row>
    <row r="581" spans="8:16" s="15" customFormat="1" x14ac:dyDescent="0.25">
      <c r="H581" s="22"/>
      <c r="K581" s="22"/>
      <c r="L581" s="22"/>
      <c r="P581" s="22"/>
    </row>
    <row r="582" spans="8:16" s="15" customFormat="1" x14ac:dyDescent="0.25">
      <c r="H582" s="22"/>
      <c r="K582" s="22"/>
      <c r="L582" s="22"/>
      <c r="P582" s="22"/>
    </row>
    <row r="583" spans="8:16" s="15" customFormat="1" x14ac:dyDescent="0.25">
      <c r="H583" s="22"/>
      <c r="K583" s="22"/>
      <c r="L583" s="22"/>
      <c r="P583" s="22"/>
    </row>
    <row r="584" spans="8:16" s="15" customFormat="1" x14ac:dyDescent="0.25">
      <c r="H584" s="22"/>
      <c r="K584" s="22"/>
      <c r="L584" s="22"/>
      <c r="P584" s="22"/>
    </row>
    <row r="585" spans="8:16" s="15" customFormat="1" x14ac:dyDescent="0.25">
      <c r="H585" s="22"/>
      <c r="K585" s="22"/>
      <c r="L585" s="22"/>
      <c r="P585" s="22"/>
    </row>
    <row r="586" spans="8:16" s="15" customFormat="1" x14ac:dyDescent="0.25">
      <c r="H586" s="22"/>
      <c r="K586" s="22"/>
      <c r="L586" s="22"/>
      <c r="P586" s="22"/>
    </row>
    <row r="587" spans="8:16" s="15" customFormat="1" x14ac:dyDescent="0.25">
      <c r="H587" s="22"/>
      <c r="K587" s="22"/>
      <c r="L587" s="22"/>
      <c r="P587" s="22"/>
    </row>
    <row r="588" spans="8:16" s="15" customFormat="1" x14ac:dyDescent="0.25">
      <c r="H588" s="22"/>
      <c r="K588" s="22"/>
      <c r="L588" s="22"/>
      <c r="P588" s="22"/>
    </row>
    <row r="589" spans="8:16" s="15" customFormat="1" x14ac:dyDescent="0.25">
      <c r="H589" s="22"/>
      <c r="K589" s="22"/>
      <c r="L589" s="22"/>
      <c r="P589" s="22"/>
    </row>
    <row r="590" spans="8:16" s="15" customFormat="1" x14ac:dyDescent="0.25">
      <c r="H590" s="22"/>
      <c r="K590" s="22"/>
      <c r="L590" s="22"/>
      <c r="P590" s="22"/>
    </row>
    <row r="591" spans="8:16" s="15" customFormat="1" x14ac:dyDescent="0.25">
      <c r="H591" s="22"/>
      <c r="K591" s="22"/>
      <c r="L591" s="22"/>
      <c r="P591" s="22"/>
    </row>
    <row r="592" spans="8:16" s="15" customFormat="1" x14ac:dyDescent="0.25">
      <c r="H592" s="22"/>
      <c r="K592" s="22"/>
      <c r="L592" s="22"/>
      <c r="P592" s="22"/>
    </row>
    <row r="593" spans="8:16" s="15" customFormat="1" x14ac:dyDescent="0.25">
      <c r="H593" s="22"/>
      <c r="K593" s="22"/>
      <c r="L593" s="22"/>
      <c r="P593" s="22"/>
    </row>
    <row r="594" spans="8:16" s="15" customFormat="1" x14ac:dyDescent="0.25">
      <c r="H594" s="22"/>
      <c r="K594" s="22"/>
      <c r="L594" s="22"/>
      <c r="P594" s="22"/>
    </row>
    <row r="595" spans="8:16" s="15" customFormat="1" x14ac:dyDescent="0.25">
      <c r="H595" s="22"/>
      <c r="K595" s="22"/>
      <c r="L595" s="22"/>
      <c r="P595" s="22"/>
    </row>
    <row r="596" spans="8:16" s="15" customFormat="1" x14ac:dyDescent="0.25">
      <c r="H596" s="22"/>
      <c r="K596" s="22"/>
      <c r="L596" s="22"/>
      <c r="P596" s="22"/>
    </row>
    <row r="597" spans="8:16" s="15" customFormat="1" x14ac:dyDescent="0.25">
      <c r="H597" s="22"/>
      <c r="K597" s="22"/>
      <c r="L597" s="22"/>
      <c r="P597" s="22"/>
    </row>
    <row r="598" spans="8:16" s="15" customFormat="1" x14ac:dyDescent="0.25">
      <c r="H598" s="22"/>
      <c r="K598" s="22"/>
      <c r="L598" s="22"/>
      <c r="P598" s="22"/>
    </row>
    <row r="599" spans="8:16" s="15" customFormat="1" x14ac:dyDescent="0.25">
      <c r="H599" s="22"/>
      <c r="K599" s="22"/>
      <c r="L599" s="22"/>
      <c r="P599" s="22"/>
    </row>
    <row r="600" spans="8:16" s="15" customFormat="1" x14ac:dyDescent="0.25">
      <c r="H600" s="22"/>
      <c r="K600" s="22"/>
      <c r="L600" s="22"/>
      <c r="P600" s="22"/>
    </row>
    <row r="601" spans="8:16" s="15" customFormat="1" x14ac:dyDescent="0.25">
      <c r="H601" s="22"/>
      <c r="K601" s="22"/>
      <c r="L601" s="22"/>
      <c r="P601" s="22"/>
    </row>
    <row r="602" spans="8:16" s="15" customFormat="1" x14ac:dyDescent="0.25">
      <c r="H602" s="22"/>
      <c r="K602" s="22"/>
      <c r="L602" s="22"/>
      <c r="P602" s="22"/>
    </row>
    <row r="603" spans="8:16" s="15" customFormat="1" x14ac:dyDescent="0.25">
      <c r="H603" s="22"/>
      <c r="K603" s="22"/>
      <c r="L603" s="22"/>
      <c r="P603" s="22"/>
    </row>
    <row r="604" spans="8:16" s="15" customFormat="1" x14ac:dyDescent="0.25">
      <c r="H604" s="22"/>
      <c r="K604" s="22"/>
      <c r="L604" s="22"/>
      <c r="P604" s="22"/>
    </row>
    <row r="605" spans="8:16" s="15" customFormat="1" x14ac:dyDescent="0.25">
      <c r="H605" s="22"/>
      <c r="K605" s="22"/>
      <c r="L605" s="22"/>
      <c r="P605" s="22"/>
    </row>
    <row r="606" spans="8:16" s="15" customFormat="1" x14ac:dyDescent="0.25">
      <c r="H606" s="22"/>
      <c r="K606" s="22"/>
      <c r="L606" s="22"/>
      <c r="P606" s="22"/>
    </row>
    <row r="607" spans="8:16" s="15" customFormat="1" x14ac:dyDescent="0.25">
      <c r="H607" s="22"/>
      <c r="K607" s="22"/>
      <c r="L607" s="22"/>
      <c r="P607" s="22"/>
    </row>
    <row r="608" spans="8:16" s="15" customFormat="1" x14ac:dyDescent="0.25">
      <c r="H608" s="22"/>
      <c r="K608" s="22"/>
      <c r="L608" s="22"/>
      <c r="P608" s="22"/>
    </row>
    <row r="609" spans="8:16" s="15" customFormat="1" x14ac:dyDescent="0.25">
      <c r="H609" s="22"/>
      <c r="K609" s="22"/>
      <c r="L609" s="22"/>
      <c r="P609" s="22"/>
    </row>
    <row r="610" spans="8:16" s="15" customFormat="1" x14ac:dyDescent="0.25">
      <c r="H610" s="22"/>
      <c r="K610" s="22"/>
      <c r="L610" s="22"/>
      <c r="P610" s="22"/>
    </row>
    <row r="611" spans="8:16" s="15" customFormat="1" x14ac:dyDescent="0.25">
      <c r="H611" s="22"/>
      <c r="K611" s="22"/>
      <c r="L611" s="22"/>
      <c r="P611" s="22"/>
    </row>
    <row r="612" spans="8:16" s="15" customFormat="1" x14ac:dyDescent="0.25">
      <c r="H612" s="22"/>
      <c r="K612" s="22"/>
      <c r="L612" s="22"/>
      <c r="P612" s="22"/>
    </row>
    <row r="613" spans="8:16" s="15" customFormat="1" x14ac:dyDescent="0.25">
      <c r="H613" s="22"/>
      <c r="K613" s="22"/>
      <c r="L613" s="22"/>
      <c r="P613" s="22"/>
    </row>
    <row r="614" spans="8:16" s="15" customFormat="1" x14ac:dyDescent="0.25">
      <c r="H614" s="22"/>
      <c r="K614" s="22"/>
      <c r="L614" s="22"/>
      <c r="P614" s="22"/>
    </row>
    <row r="615" spans="8:16" s="15" customFormat="1" x14ac:dyDescent="0.25">
      <c r="H615" s="22"/>
      <c r="K615" s="22"/>
      <c r="L615" s="22"/>
      <c r="P615" s="22"/>
    </row>
    <row r="616" spans="8:16" s="15" customFormat="1" x14ac:dyDescent="0.25">
      <c r="H616" s="22"/>
      <c r="K616" s="22"/>
      <c r="L616" s="22"/>
      <c r="P616" s="22"/>
    </row>
    <row r="617" spans="8:16" s="15" customFormat="1" x14ac:dyDescent="0.25">
      <c r="H617" s="22"/>
      <c r="K617" s="22"/>
      <c r="L617" s="22"/>
      <c r="P617" s="22"/>
    </row>
    <row r="618" spans="8:16" s="15" customFormat="1" x14ac:dyDescent="0.25">
      <c r="H618" s="22"/>
      <c r="K618" s="22"/>
      <c r="L618" s="22"/>
      <c r="P618" s="22"/>
    </row>
    <row r="619" spans="8:16" s="15" customFormat="1" x14ac:dyDescent="0.25">
      <c r="H619" s="22"/>
      <c r="K619" s="22"/>
      <c r="L619" s="22"/>
      <c r="P619" s="22"/>
    </row>
    <row r="620" spans="8:16" s="15" customFormat="1" x14ac:dyDescent="0.25">
      <c r="H620" s="22"/>
      <c r="K620" s="22"/>
      <c r="L620" s="22"/>
      <c r="P620" s="22"/>
    </row>
    <row r="621" spans="8:16" s="15" customFormat="1" x14ac:dyDescent="0.25">
      <c r="H621" s="22"/>
      <c r="K621" s="22"/>
      <c r="L621" s="22"/>
      <c r="P621" s="22"/>
    </row>
    <row r="622" spans="8:16" s="15" customFormat="1" x14ac:dyDescent="0.25">
      <c r="H622" s="22"/>
      <c r="K622" s="22"/>
      <c r="L622" s="22"/>
      <c r="P622" s="22"/>
    </row>
    <row r="623" spans="8:16" s="15" customFormat="1" x14ac:dyDescent="0.25">
      <c r="H623" s="22"/>
      <c r="K623" s="22"/>
      <c r="L623" s="22"/>
      <c r="P623" s="22"/>
    </row>
    <row r="624" spans="8:16" s="15" customFormat="1" x14ac:dyDescent="0.25">
      <c r="H624" s="22"/>
      <c r="K624" s="22"/>
      <c r="L624" s="22"/>
      <c r="P624" s="22"/>
    </row>
    <row r="625" spans="8:16" s="15" customFormat="1" x14ac:dyDescent="0.25">
      <c r="H625" s="22"/>
      <c r="K625" s="22"/>
      <c r="L625" s="22"/>
      <c r="P625" s="22"/>
    </row>
    <row r="626" spans="8:16" s="15" customFormat="1" x14ac:dyDescent="0.25">
      <c r="H626" s="22"/>
      <c r="K626" s="22"/>
      <c r="L626" s="22"/>
      <c r="P626" s="22"/>
    </row>
    <row r="627" spans="8:16" s="15" customFormat="1" x14ac:dyDescent="0.25">
      <c r="H627" s="22"/>
      <c r="K627" s="22"/>
      <c r="L627" s="22"/>
      <c r="P627" s="22"/>
    </row>
    <row r="628" spans="8:16" s="15" customFormat="1" x14ac:dyDescent="0.25">
      <c r="H628" s="22"/>
      <c r="K628" s="22"/>
      <c r="L628" s="22"/>
      <c r="P628" s="22"/>
    </row>
    <row r="629" spans="8:16" s="15" customFormat="1" x14ac:dyDescent="0.25">
      <c r="H629" s="22"/>
      <c r="K629" s="22"/>
      <c r="L629" s="22"/>
      <c r="P629" s="22"/>
    </row>
    <row r="630" spans="8:16" s="15" customFormat="1" x14ac:dyDescent="0.25">
      <c r="H630" s="22"/>
      <c r="K630" s="22"/>
      <c r="L630" s="22"/>
      <c r="P630" s="22"/>
    </row>
    <row r="631" spans="8:16" s="15" customFormat="1" x14ac:dyDescent="0.25">
      <c r="H631" s="22"/>
      <c r="K631" s="22"/>
      <c r="L631" s="22"/>
      <c r="P631" s="22"/>
    </row>
    <row r="632" spans="8:16" s="15" customFormat="1" x14ac:dyDescent="0.25">
      <c r="H632" s="22"/>
      <c r="K632" s="22"/>
      <c r="L632" s="22"/>
      <c r="P632" s="22"/>
    </row>
    <row r="633" spans="8:16" s="15" customFormat="1" x14ac:dyDescent="0.25">
      <c r="H633" s="22"/>
      <c r="K633" s="22"/>
      <c r="L633" s="22"/>
      <c r="P633" s="22"/>
    </row>
    <row r="634" spans="8:16" s="15" customFormat="1" x14ac:dyDescent="0.25">
      <c r="H634" s="22"/>
      <c r="K634" s="22"/>
      <c r="L634" s="22"/>
      <c r="P634" s="22"/>
    </row>
    <row r="635" spans="8:16" s="15" customFormat="1" x14ac:dyDescent="0.25">
      <c r="H635" s="22"/>
      <c r="K635" s="22"/>
      <c r="L635" s="22"/>
      <c r="P635" s="22"/>
    </row>
    <row r="636" spans="8:16" s="15" customFormat="1" x14ac:dyDescent="0.25">
      <c r="H636" s="22"/>
      <c r="K636" s="22"/>
      <c r="L636" s="22"/>
      <c r="P636" s="22"/>
    </row>
    <row r="637" spans="8:16" s="15" customFormat="1" x14ac:dyDescent="0.25">
      <c r="H637" s="22"/>
      <c r="K637" s="22"/>
      <c r="L637" s="22"/>
      <c r="P637" s="22"/>
    </row>
    <row r="638" spans="8:16" s="15" customFormat="1" x14ac:dyDescent="0.25">
      <c r="H638" s="22"/>
      <c r="K638" s="22"/>
      <c r="L638" s="22"/>
      <c r="P638" s="22"/>
    </row>
    <row r="639" spans="8:16" s="15" customFormat="1" x14ac:dyDescent="0.25">
      <c r="H639" s="22"/>
      <c r="K639" s="22"/>
      <c r="L639" s="22"/>
      <c r="P639" s="22"/>
    </row>
    <row r="640" spans="8:16" s="15" customFormat="1" x14ac:dyDescent="0.25">
      <c r="H640" s="22"/>
      <c r="K640" s="22"/>
      <c r="L640" s="22"/>
      <c r="P640" s="22"/>
    </row>
    <row r="641" spans="8:16" s="15" customFormat="1" x14ac:dyDescent="0.25">
      <c r="H641" s="22"/>
      <c r="K641" s="22"/>
      <c r="L641" s="22"/>
      <c r="P641" s="22"/>
    </row>
    <row r="642" spans="8:16" s="15" customFormat="1" x14ac:dyDescent="0.25">
      <c r="H642" s="22"/>
      <c r="K642" s="22"/>
      <c r="L642" s="22"/>
      <c r="P642" s="22"/>
    </row>
    <row r="643" spans="8:16" s="15" customFormat="1" x14ac:dyDescent="0.25">
      <c r="H643" s="22"/>
      <c r="K643" s="22"/>
      <c r="L643" s="22"/>
      <c r="P643" s="22"/>
    </row>
    <row r="644" spans="8:16" s="15" customFormat="1" x14ac:dyDescent="0.25">
      <c r="H644" s="22"/>
      <c r="K644" s="22"/>
      <c r="L644" s="22"/>
      <c r="P644" s="22"/>
    </row>
    <row r="645" spans="8:16" s="15" customFormat="1" x14ac:dyDescent="0.25">
      <c r="H645" s="22"/>
      <c r="K645" s="22"/>
      <c r="L645" s="22"/>
      <c r="P645" s="22"/>
    </row>
    <row r="646" spans="8:16" s="15" customFormat="1" x14ac:dyDescent="0.25">
      <c r="H646" s="22"/>
      <c r="K646" s="22"/>
      <c r="L646" s="22"/>
      <c r="P646" s="22"/>
    </row>
    <row r="647" spans="8:16" s="15" customFormat="1" x14ac:dyDescent="0.25">
      <c r="H647" s="22"/>
      <c r="K647" s="22"/>
      <c r="L647" s="22"/>
      <c r="P647" s="22"/>
    </row>
    <row r="648" spans="8:16" s="15" customFormat="1" x14ac:dyDescent="0.25">
      <c r="H648" s="22"/>
      <c r="K648" s="22"/>
      <c r="L648" s="22"/>
      <c r="P648" s="22"/>
    </row>
    <row r="649" spans="8:16" s="15" customFormat="1" x14ac:dyDescent="0.25">
      <c r="H649" s="22"/>
      <c r="K649" s="22"/>
      <c r="L649" s="22"/>
      <c r="P649" s="22"/>
    </row>
    <row r="650" spans="8:16" s="15" customFormat="1" x14ac:dyDescent="0.25">
      <c r="H650" s="22"/>
      <c r="K650" s="22"/>
      <c r="L650" s="22"/>
      <c r="P650" s="22"/>
    </row>
    <row r="651" spans="8:16" s="15" customFormat="1" x14ac:dyDescent="0.25">
      <c r="H651" s="22"/>
      <c r="K651" s="22"/>
      <c r="L651" s="22"/>
      <c r="P651" s="22"/>
    </row>
    <row r="652" spans="8:16" s="15" customFormat="1" x14ac:dyDescent="0.25">
      <c r="H652" s="22"/>
      <c r="K652" s="22"/>
      <c r="L652" s="22"/>
      <c r="P652" s="22"/>
    </row>
    <row r="653" spans="8:16" s="15" customFormat="1" x14ac:dyDescent="0.25">
      <c r="H653" s="22"/>
      <c r="K653" s="22"/>
      <c r="L653" s="22"/>
      <c r="P653" s="22"/>
    </row>
    <row r="654" spans="8:16" s="15" customFormat="1" x14ac:dyDescent="0.25">
      <c r="H654" s="22"/>
      <c r="K654" s="22"/>
      <c r="L654" s="22"/>
      <c r="P654" s="22"/>
    </row>
    <row r="655" spans="8:16" s="15" customFormat="1" x14ac:dyDescent="0.25">
      <c r="H655" s="22"/>
      <c r="K655" s="22"/>
      <c r="L655" s="22"/>
      <c r="P655" s="22"/>
    </row>
    <row r="656" spans="8:16" s="15" customFormat="1" x14ac:dyDescent="0.25">
      <c r="H656" s="22"/>
      <c r="K656" s="22"/>
      <c r="L656" s="22"/>
      <c r="P656" s="22"/>
    </row>
    <row r="657" spans="8:16" s="15" customFormat="1" x14ac:dyDescent="0.25">
      <c r="H657" s="22"/>
      <c r="K657" s="22"/>
      <c r="L657" s="22"/>
      <c r="P657" s="22"/>
    </row>
    <row r="658" spans="8:16" s="15" customFormat="1" x14ac:dyDescent="0.25">
      <c r="H658" s="22"/>
      <c r="K658" s="22"/>
      <c r="L658" s="22"/>
      <c r="P658" s="22"/>
    </row>
    <row r="659" spans="8:16" s="15" customFormat="1" x14ac:dyDescent="0.25">
      <c r="H659" s="22"/>
      <c r="K659" s="22"/>
      <c r="L659" s="22"/>
      <c r="P659" s="22"/>
    </row>
    <row r="660" spans="8:16" s="15" customFormat="1" x14ac:dyDescent="0.25">
      <c r="H660" s="22"/>
      <c r="K660" s="22"/>
      <c r="L660" s="22"/>
      <c r="P660" s="22"/>
    </row>
    <row r="661" spans="8:16" s="15" customFormat="1" x14ac:dyDescent="0.25">
      <c r="H661" s="22"/>
      <c r="K661" s="22"/>
      <c r="L661" s="22"/>
      <c r="P661" s="22"/>
    </row>
    <row r="662" spans="8:16" s="15" customFormat="1" x14ac:dyDescent="0.25">
      <c r="H662" s="22"/>
      <c r="K662" s="22"/>
      <c r="L662" s="22"/>
      <c r="P662" s="22"/>
    </row>
    <row r="663" spans="8:16" s="15" customFormat="1" x14ac:dyDescent="0.25">
      <c r="H663" s="22"/>
      <c r="K663" s="22"/>
      <c r="L663" s="22"/>
      <c r="P663" s="22"/>
    </row>
    <row r="664" spans="8:16" s="15" customFormat="1" x14ac:dyDescent="0.25">
      <c r="H664" s="22"/>
      <c r="K664" s="22"/>
      <c r="L664" s="22"/>
      <c r="P664" s="22"/>
    </row>
    <row r="665" spans="8:16" s="15" customFormat="1" x14ac:dyDescent="0.25">
      <c r="H665" s="22"/>
      <c r="K665" s="22"/>
      <c r="L665" s="22"/>
      <c r="P665" s="22"/>
    </row>
    <row r="666" spans="8:16" s="15" customFormat="1" x14ac:dyDescent="0.25">
      <c r="H666" s="22"/>
      <c r="K666" s="22"/>
      <c r="L666" s="22"/>
      <c r="P666" s="22"/>
    </row>
    <row r="667" spans="8:16" s="15" customFormat="1" x14ac:dyDescent="0.25">
      <c r="H667" s="22"/>
      <c r="K667" s="22"/>
      <c r="L667" s="22"/>
      <c r="P667" s="22"/>
    </row>
    <row r="668" spans="8:16" s="15" customFormat="1" x14ac:dyDescent="0.25">
      <c r="H668" s="22"/>
      <c r="K668" s="22"/>
      <c r="L668" s="22"/>
      <c r="P668" s="22"/>
    </row>
    <row r="669" spans="8:16" s="15" customFormat="1" x14ac:dyDescent="0.25">
      <c r="H669" s="22"/>
      <c r="K669" s="22"/>
      <c r="L669" s="22"/>
      <c r="P669" s="22"/>
    </row>
    <row r="670" spans="8:16" s="15" customFormat="1" x14ac:dyDescent="0.25">
      <c r="H670" s="22"/>
      <c r="K670" s="22"/>
      <c r="L670" s="22"/>
      <c r="P670" s="22"/>
    </row>
    <row r="671" spans="8:16" s="15" customFormat="1" x14ac:dyDescent="0.25">
      <c r="H671" s="22"/>
      <c r="K671" s="22"/>
      <c r="L671" s="22"/>
      <c r="P671" s="22"/>
    </row>
    <row r="672" spans="8:16" s="15" customFormat="1" x14ac:dyDescent="0.25">
      <c r="H672" s="22"/>
      <c r="K672" s="22"/>
      <c r="L672" s="22"/>
      <c r="P672" s="22"/>
    </row>
    <row r="673" spans="8:16" s="15" customFormat="1" x14ac:dyDescent="0.25">
      <c r="H673" s="22"/>
      <c r="K673" s="22"/>
      <c r="L673" s="22"/>
      <c r="P673" s="22"/>
    </row>
    <row r="674" spans="8:16" s="15" customFormat="1" x14ac:dyDescent="0.25">
      <c r="H674" s="22"/>
      <c r="K674" s="22"/>
      <c r="L674" s="22"/>
      <c r="P674" s="22"/>
    </row>
    <row r="675" spans="8:16" s="15" customFormat="1" x14ac:dyDescent="0.25">
      <c r="H675" s="22"/>
      <c r="K675" s="22"/>
      <c r="L675" s="22"/>
      <c r="P675" s="22"/>
    </row>
    <row r="676" spans="8:16" s="15" customFormat="1" x14ac:dyDescent="0.25">
      <c r="H676" s="22"/>
      <c r="K676" s="22"/>
      <c r="L676" s="22"/>
      <c r="P676" s="22"/>
    </row>
    <row r="677" spans="8:16" s="15" customFormat="1" x14ac:dyDescent="0.25">
      <c r="H677" s="22"/>
      <c r="K677" s="22"/>
      <c r="L677" s="22"/>
      <c r="P677" s="22"/>
    </row>
    <row r="678" spans="8:16" s="15" customFormat="1" x14ac:dyDescent="0.25">
      <c r="H678" s="22"/>
      <c r="K678" s="22"/>
      <c r="L678" s="22"/>
      <c r="P678" s="22"/>
    </row>
    <row r="679" spans="8:16" s="15" customFormat="1" x14ac:dyDescent="0.25">
      <c r="H679" s="22"/>
      <c r="K679" s="22"/>
      <c r="L679" s="22"/>
      <c r="P679" s="22"/>
    </row>
    <row r="680" spans="8:16" s="15" customFormat="1" x14ac:dyDescent="0.25">
      <c r="H680" s="22"/>
      <c r="K680" s="22"/>
      <c r="L680" s="22"/>
      <c r="P680" s="22"/>
    </row>
    <row r="681" spans="8:16" s="15" customFormat="1" x14ac:dyDescent="0.25">
      <c r="H681" s="22"/>
      <c r="K681" s="22"/>
      <c r="L681" s="22"/>
      <c r="P681" s="22"/>
    </row>
    <row r="682" spans="8:16" s="15" customFormat="1" x14ac:dyDescent="0.25">
      <c r="H682" s="22"/>
      <c r="K682" s="22"/>
      <c r="L682" s="22"/>
      <c r="P682" s="22"/>
    </row>
    <row r="683" spans="8:16" s="15" customFormat="1" x14ac:dyDescent="0.25">
      <c r="H683" s="22"/>
      <c r="K683" s="22"/>
      <c r="L683" s="22"/>
      <c r="P683" s="22"/>
    </row>
    <row r="684" spans="8:16" s="15" customFormat="1" x14ac:dyDescent="0.25">
      <c r="H684" s="22"/>
      <c r="K684" s="22"/>
      <c r="L684" s="22"/>
      <c r="P684" s="22"/>
    </row>
    <row r="685" spans="8:16" s="15" customFormat="1" x14ac:dyDescent="0.25">
      <c r="H685" s="22"/>
      <c r="K685" s="22"/>
      <c r="L685" s="22"/>
      <c r="P685" s="22"/>
    </row>
    <row r="686" spans="8:16" s="15" customFormat="1" x14ac:dyDescent="0.25">
      <c r="H686" s="22"/>
      <c r="K686" s="22"/>
      <c r="L686" s="22"/>
      <c r="P686" s="22"/>
    </row>
    <row r="687" spans="8:16" s="15" customFormat="1" x14ac:dyDescent="0.25">
      <c r="H687" s="22"/>
      <c r="K687" s="22"/>
      <c r="L687" s="22"/>
      <c r="P687" s="22"/>
    </row>
    <row r="688" spans="8:16" s="15" customFormat="1" x14ac:dyDescent="0.25">
      <c r="H688" s="22"/>
      <c r="K688" s="22"/>
      <c r="L688" s="22"/>
      <c r="P688" s="22"/>
    </row>
    <row r="689" spans="8:16" s="15" customFormat="1" x14ac:dyDescent="0.25">
      <c r="H689" s="22"/>
      <c r="K689" s="22"/>
      <c r="L689" s="22"/>
      <c r="P689" s="22"/>
    </row>
    <row r="690" spans="8:16" s="15" customFormat="1" x14ac:dyDescent="0.25">
      <c r="H690" s="22"/>
      <c r="K690" s="22"/>
      <c r="L690" s="22"/>
      <c r="P690" s="22"/>
    </row>
    <row r="691" spans="8:16" s="15" customFormat="1" x14ac:dyDescent="0.25">
      <c r="H691" s="22"/>
      <c r="K691" s="22"/>
      <c r="L691" s="22"/>
      <c r="P691" s="22"/>
    </row>
    <row r="692" spans="8:16" s="15" customFormat="1" x14ac:dyDescent="0.25">
      <c r="H692" s="22"/>
      <c r="K692" s="22"/>
      <c r="L692" s="22"/>
      <c r="P692" s="22"/>
    </row>
    <row r="693" spans="8:16" s="15" customFormat="1" x14ac:dyDescent="0.25">
      <c r="H693" s="22"/>
      <c r="K693" s="22"/>
      <c r="L693" s="22"/>
      <c r="P693" s="22"/>
    </row>
    <row r="694" spans="8:16" s="15" customFormat="1" x14ac:dyDescent="0.25">
      <c r="H694" s="22"/>
      <c r="K694" s="22"/>
      <c r="L694" s="22"/>
      <c r="P694" s="22"/>
    </row>
    <row r="695" spans="8:16" s="15" customFormat="1" x14ac:dyDescent="0.25">
      <c r="H695" s="22"/>
      <c r="K695" s="22"/>
      <c r="L695" s="22"/>
      <c r="P695" s="22"/>
    </row>
    <row r="696" spans="8:16" s="15" customFormat="1" x14ac:dyDescent="0.25">
      <c r="H696" s="22"/>
      <c r="K696" s="22"/>
      <c r="L696" s="22"/>
      <c r="P696" s="22"/>
    </row>
    <row r="697" spans="8:16" s="15" customFormat="1" x14ac:dyDescent="0.25">
      <c r="H697" s="22"/>
      <c r="K697" s="22"/>
      <c r="L697" s="22"/>
      <c r="P697" s="22"/>
    </row>
    <row r="698" spans="8:16" s="15" customFormat="1" x14ac:dyDescent="0.25">
      <c r="H698" s="22"/>
      <c r="K698" s="22"/>
      <c r="L698" s="22"/>
      <c r="P698" s="22"/>
    </row>
    <row r="699" spans="8:16" s="15" customFormat="1" x14ac:dyDescent="0.25">
      <c r="H699" s="22"/>
      <c r="K699" s="22"/>
      <c r="L699" s="22"/>
      <c r="P699" s="22"/>
    </row>
    <row r="700" spans="8:16" s="15" customFormat="1" x14ac:dyDescent="0.25">
      <c r="H700" s="22"/>
      <c r="K700" s="22"/>
      <c r="L700" s="22"/>
      <c r="P700" s="22"/>
    </row>
    <row r="701" spans="8:16" s="15" customFormat="1" x14ac:dyDescent="0.25">
      <c r="H701" s="22"/>
      <c r="K701" s="22"/>
      <c r="L701" s="22"/>
      <c r="P701" s="22"/>
    </row>
    <row r="702" spans="8:16" s="15" customFormat="1" x14ac:dyDescent="0.25">
      <c r="H702" s="22"/>
      <c r="K702" s="22"/>
      <c r="L702" s="22"/>
      <c r="P702" s="22"/>
    </row>
    <row r="703" spans="8:16" s="15" customFormat="1" x14ac:dyDescent="0.25">
      <c r="H703" s="22"/>
      <c r="K703" s="22"/>
      <c r="L703" s="22"/>
      <c r="P703" s="22"/>
    </row>
    <row r="704" spans="8:16" s="15" customFormat="1" x14ac:dyDescent="0.25">
      <c r="H704" s="22"/>
      <c r="K704" s="22"/>
      <c r="L704" s="22"/>
      <c r="P704" s="22"/>
    </row>
    <row r="705" spans="8:16" s="15" customFormat="1" x14ac:dyDescent="0.25">
      <c r="H705" s="22"/>
      <c r="K705" s="22"/>
      <c r="L705" s="22"/>
      <c r="P705" s="22"/>
    </row>
    <row r="706" spans="8:16" s="15" customFormat="1" x14ac:dyDescent="0.25">
      <c r="H706" s="22"/>
      <c r="K706" s="22"/>
      <c r="L706" s="22"/>
      <c r="P706" s="22"/>
    </row>
    <row r="707" spans="8:16" s="15" customFormat="1" x14ac:dyDescent="0.25">
      <c r="H707" s="22"/>
      <c r="K707" s="22"/>
      <c r="L707" s="22"/>
      <c r="P707" s="22"/>
    </row>
    <row r="708" spans="8:16" s="15" customFormat="1" x14ac:dyDescent="0.25">
      <c r="H708" s="22"/>
      <c r="K708" s="22"/>
      <c r="L708" s="22"/>
      <c r="P708" s="22"/>
    </row>
    <row r="709" spans="8:16" s="15" customFormat="1" x14ac:dyDescent="0.25">
      <c r="H709" s="22"/>
      <c r="K709" s="22"/>
      <c r="L709" s="22"/>
      <c r="P709" s="22"/>
    </row>
    <row r="710" spans="8:16" s="15" customFormat="1" x14ac:dyDescent="0.25">
      <c r="H710" s="22"/>
      <c r="K710" s="22"/>
      <c r="L710" s="22"/>
      <c r="P710" s="22"/>
    </row>
    <row r="711" spans="8:16" s="15" customFormat="1" x14ac:dyDescent="0.25">
      <c r="H711" s="22"/>
      <c r="K711" s="22"/>
      <c r="L711" s="22"/>
      <c r="P711" s="22"/>
    </row>
    <row r="712" spans="8:16" s="15" customFormat="1" x14ac:dyDescent="0.25">
      <c r="H712" s="22"/>
      <c r="K712" s="22"/>
      <c r="L712" s="22"/>
      <c r="P712" s="22"/>
    </row>
    <row r="713" spans="8:16" s="15" customFormat="1" x14ac:dyDescent="0.25">
      <c r="H713" s="22"/>
      <c r="K713" s="22"/>
      <c r="L713" s="22"/>
      <c r="P713" s="22"/>
    </row>
    <row r="714" spans="8:16" s="15" customFormat="1" x14ac:dyDescent="0.25">
      <c r="H714" s="22"/>
      <c r="K714" s="22"/>
      <c r="L714" s="22"/>
      <c r="P714" s="22"/>
    </row>
    <row r="715" spans="8:16" s="15" customFormat="1" x14ac:dyDescent="0.25">
      <c r="H715" s="22"/>
      <c r="K715" s="22"/>
      <c r="L715" s="22"/>
      <c r="P715" s="22"/>
    </row>
    <row r="716" spans="8:16" s="15" customFormat="1" x14ac:dyDescent="0.25">
      <c r="H716" s="22"/>
      <c r="K716" s="22"/>
      <c r="L716" s="22"/>
      <c r="P716" s="22"/>
    </row>
    <row r="717" spans="8:16" s="15" customFormat="1" x14ac:dyDescent="0.25">
      <c r="H717" s="22"/>
      <c r="K717" s="22"/>
      <c r="L717" s="22"/>
      <c r="P717" s="22"/>
    </row>
    <row r="718" spans="8:16" s="15" customFormat="1" x14ac:dyDescent="0.25">
      <c r="H718" s="22"/>
      <c r="K718" s="22"/>
      <c r="L718" s="22"/>
      <c r="P718" s="22"/>
    </row>
    <row r="719" spans="8:16" s="15" customFormat="1" x14ac:dyDescent="0.25">
      <c r="H719" s="22"/>
      <c r="K719" s="22"/>
      <c r="L719" s="22"/>
      <c r="P719" s="22"/>
    </row>
    <row r="720" spans="8:16" s="15" customFormat="1" x14ac:dyDescent="0.25">
      <c r="H720" s="22"/>
      <c r="K720" s="22"/>
      <c r="L720" s="22"/>
      <c r="P720" s="22"/>
    </row>
    <row r="721" spans="8:16" s="15" customFormat="1" x14ac:dyDescent="0.25">
      <c r="H721" s="22"/>
      <c r="K721" s="22"/>
      <c r="L721" s="22"/>
      <c r="P721" s="22"/>
    </row>
    <row r="722" spans="8:16" s="15" customFormat="1" x14ac:dyDescent="0.25">
      <c r="H722" s="22"/>
      <c r="K722" s="22"/>
      <c r="L722" s="22"/>
      <c r="P722" s="22"/>
    </row>
    <row r="723" spans="8:16" s="15" customFormat="1" x14ac:dyDescent="0.25">
      <c r="H723" s="22"/>
      <c r="K723" s="22"/>
      <c r="L723" s="22"/>
      <c r="P723" s="22"/>
    </row>
    <row r="724" spans="8:16" s="15" customFormat="1" x14ac:dyDescent="0.25">
      <c r="H724" s="22"/>
      <c r="K724" s="22"/>
      <c r="L724" s="22"/>
      <c r="P724" s="22"/>
    </row>
    <row r="725" spans="8:16" s="15" customFormat="1" x14ac:dyDescent="0.25">
      <c r="H725" s="22"/>
      <c r="K725" s="22"/>
      <c r="L725" s="22"/>
      <c r="P725" s="22"/>
    </row>
    <row r="726" spans="8:16" s="15" customFormat="1" x14ac:dyDescent="0.25">
      <c r="H726" s="22"/>
      <c r="K726" s="22"/>
      <c r="L726" s="22"/>
      <c r="P726" s="22"/>
    </row>
    <row r="727" spans="8:16" s="15" customFormat="1" x14ac:dyDescent="0.25">
      <c r="H727" s="22"/>
      <c r="K727" s="22"/>
      <c r="L727" s="22"/>
      <c r="P727" s="22"/>
    </row>
    <row r="728" spans="8:16" s="15" customFormat="1" x14ac:dyDescent="0.25">
      <c r="H728" s="22"/>
      <c r="K728" s="22"/>
      <c r="L728" s="22"/>
      <c r="P728" s="22"/>
    </row>
    <row r="729" spans="8:16" s="15" customFormat="1" x14ac:dyDescent="0.25">
      <c r="H729" s="22"/>
      <c r="K729" s="22"/>
      <c r="L729" s="22"/>
      <c r="P729" s="22"/>
    </row>
    <row r="730" spans="8:16" s="15" customFormat="1" x14ac:dyDescent="0.25">
      <c r="H730" s="22"/>
      <c r="K730" s="22"/>
      <c r="L730" s="22"/>
      <c r="P730" s="22"/>
    </row>
    <row r="731" spans="8:16" s="15" customFormat="1" x14ac:dyDescent="0.25">
      <c r="H731" s="22"/>
      <c r="K731" s="22"/>
      <c r="L731" s="22"/>
      <c r="P731" s="22"/>
    </row>
    <row r="732" spans="8:16" s="15" customFormat="1" x14ac:dyDescent="0.25">
      <c r="H732" s="22"/>
      <c r="K732" s="22"/>
      <c r="L732" s="22"/>
      <c r="P732" s="22"/>
    </row>
    <row r="733" spans="8:16" s="15" customFormat="1" x14ac:dyDescent="0.25">
      <c r="H733" s="22"/>
      <c r="K733" s="22"/>
      <c r="L733" s="22"/>
      <c r="P733" s="22"/>
    </row>
    <row r="734" spans="8:16" s="15" customFormat="1" x14ac:dyDescent="0.25">
      <c r="H734" s="22"/>
      <c r="K734" s="22"/>
      <c r="L734" s="22"/>
      <c r="P734" s="22"/>
    </row>
    <row r="735" spans="8:16" s="15" customFormat="1" x14ac:dyDescent="0.25">
      <c r="H735" s="22"/>
      <c r="K735" s="22"/>
      <c r="L735" s="22"/>
      <c r="P735" s="22"/>
    </row>
    <row r="736" spans="8:16" s="15" customFormat="1" x14ac:dyDescent="0.25">
      <c r="H736" s="22"/>
      <c r="K736" s="22"/>
      <c r="L736" s="22"/>
      <c r="P736" s="22"/>
    </row>
    <row r="737" spans="8:16" s="15" customFormat="1" x14ac:dyDescent="0.25">
      <c r="H737" s="22"/>
      <c r="K737" s="22"/>
      <c r="L737" s="22"/>
      <c r="P737" s="22"/>
    </row>
    <row r="738" spans="8:16" s="15" customFormat="1" x14ac:dyDescent="0.25">
      <c r="H738" s="22"/>
      <c r="K738" s="22"/>
      <c r="L738" s="22"/>
      <c r="P738" s="22"/>
    </row>
    <row r="739" spans="8:16" s="15" customFormat="1" x14ac:dyDescent="0.25">
      <c r="H739" s="22"/>
      <c r="K739" s="22"/>
      <c r="L739" s="22"/>
      <c r="P739" s="22"/>
    </row>
    <row r="740" spans="8:16" s="15" customFormat="1" x14ac:dyDescent="0.25">
      <c r="H740" s="22"/>
      <c r="K740" s="22"/>
      <c r="L740" s="22"/>
      <c r="P740" s="22"/>
    </row>
    <row r="741" spans="8:16" s="15" customFormat="1" x14ac:dyDescent="0.25">
      <c r="H741" s="22"/>
      <c r="K741" s="22"/>
      <c r="L741" s="22"/>
      <c r="P741" s="22"/>
    </row>
    <row r="742" spans="8:16" s="15" customFormat="1" x14ac:dyDescent="0.25">
      <c r="H742" s="22"/>
      <c r="K742" s="22"/>
      <c r="L742" s="22"/>
      <c r="P742" s="22"/>
    </row>
    <row r="743" spans="8:16" s="15" customFormat="1" x14ac:dyDescent="0.25">
      <c r="H743" s="22"/>
      <c r="K743" s="22"/>
      <c r="L743" s="22"/>
      <c r="P743" s="22"/>
    </row>
    <row r="744" spans="8:16" s="15" customFormat="1" x14ac:dyDescent="0.25">
      <c r="H744" s="22"/>
      <c r="K744" s="22"/>
      <c r="L744" s="22"/>
      <c r="P744" s="22"/>
    </row>
    <row r="745" spans="8:16" s="15" customFormat="1" x14ac:dyDescent="0.25">
      <c r="H745" s="22"/>
      <c r="K745" s="22"/>
      <c r="L745" s="22"/>
      <c r="P745" s="22"/>
    </row>
    <row r="746" spans="8:16" s="15" customFormat="1" x14ac:dyDescent="0.25">
      <c r="H746" s="22"/>
      <c r="K746" s="22"/>
      <c r="L746" s="22"/>
      <c r="P746" s="22"/>
    </row>
    <row r="747" spans="8:16" s="15" customFormat="1" x14ac:dyDescent="0.25">
      <c r="H747" s="22"/>
      <c r="K747" s="22"/>
      <c r="L747" s="22"/>
      <c r="P747" s="22"/>
    </row>
    <row r="748" spans="8:16" s="15" customFormat="1" x14ac:dyDescent="0.25">
      <c r="H748" s="22"/>
      <c r="K748" s="22"/>
      <c r="L748" s="22"/>
      <c r="P748" s="22"/>
    </row>
    <row r="749" spans="8:16" s="15" customFormat="1" x14ac:dyDescent="0.25">
      <c r="H749" s="22"/>
      <c r="K749" s="22"/>
      <c r="L749" s="22"/>
      <c r="P749" s="22"/>
    </row>
    <row r="750" spans="8:16" s="15" customFormat="1" x14ac:dyDescent="0.25">
      <c r="H750" s="22"/>
      <c r="K750" s="22"/>
      <c r="L750" s="22"/>
      <c r="P750" s="22"/>
    </row>
    <row r="751" spans="8:16" s="15" customFormat="1" x14ac:dyDescent="0.25">
      <c r="H751" s="22"/>
      <c r="K751" s="22"/>
      <c r="L751" s="22"/>
      <c r="P751" s="22"/>
    </row>
    <row r="752" spans="8:16" s="15" customFormat="1" x14ac:dyDescent="0.25">
      <c r="H752" s="22"/>
      <c r="K752" s="22"/>
      <c r="L752" s="22"/>
      <c r="P752" s="22"/>
    </row>
    <row r="753" spans="8:16" s="15" customFormat="1" x14ac:dyDescent="0.25">
      <c r="H753" s="22"/>
      <c r="K753" s="22"/>
      <c r="L753" s="22"/>
      <c r="P753" s="22"/>
    </row>
    <row r="754" spans="8:16" s="15" customFormat="1" x14ac:dyDescent="0.25">
      <c r="H754" s="22"/>
      <c r="K754" s="22"/>
      <c r="L754" s="22"/>
      <c r="P754" s="22"/>
    </row>
    <row r="755" spans="8:16" s="15" customFormat="1" x14ac:dyDescent="0.25">
      <c r="H755" s="22"/>
      <c r="K755" s="22"/>
      <c r="L755" s="22"/>
      <c r="P755" s="22"/>
    </row>
    <row r="756" spans="8:16" s="15" customFormat="1" x14ac:dyDescent="0.25">
      <c r="H756" s="22"/>
      <c r="K756" s="22"/>
      <c r="L756" s="22"/>
      <c r="P756" s="22"/>
    </row>
    <row r="757" spans="8:16" s="15" customFormat="1" x14ac:dyDescent="0.25">
      <c r="H757" s="22"/>
      <c r="K757" s="22"/>
      <c r="L757" s="22"/>
      <c r="P757" s="22"/>
    </row>
    <row r="758" spans="8:16" s="15" customFormat="1" x14ac:dyDescent="0.25">
      <c r="H758" s="22"/>
      <c r="K758" s="22"/>
      <c r="L758" s="22"/>
      <c r="P758" s="22"/>
    </row>
    <row r="759" spans="8:16" s="15" customFormat="1" x14ac:dyDescent="0.25">
      <c r="H759" s="22"/>
      <c r="K759" s="22"/>
      <c r="L759" s="22"/>
      <c r="P759" s="22"/>
    </row>
    <row r="760" spans="8:16" s="15" customFormat="1" x14ac:dyDescent="0.25">
      <c r="H760" s="22"/>
      <c r="K760" s="22"/>
      <c r="L760" s="22"/>
      <c r="P760" s="22"/>
    </row>
    <row r="761" spans="8:16" s="15" customFormat="1" x14ac:dyDescent="0.25">
      <c r="H761" s="22"/>
      <c r="K761" s="22"/>
      <c r="L761" s="22"/>
      <c r="P761" s="22"/>
    </row>
    <row r="762" spans="8:16" s="15" customFormat="1" x14ac:dyDescent="0.25">
      <c r="H762" s="22"/>
      <c r="K762" s="22"/>
      <c r="L762" s="22"/>
      <c r="P762" s="22"/>
    </row>
    <row r="763" spans="8:16" s="15" customFormat="1" x14ac:dyDescent="0.25">
      <c r="H763" s="22"/>
      <c r="K763" s="22"/>
      <c r="L763" s="22"/>
      <c r="P763" s="22"/>
    </row>
    <row r="764" spans="8:16" s="15" customFormat="1" x14ac:dyDescent="0.25">
      <c r="H764" s="22"/>
      <c r="K764" s="22"/>
      <c r="L764" s="22"/>
      <c r="P764" s="22"/>
    </row>
    <row r="765" spans="8:16" s="15" customFormat="1" x14ac:dyDescent="0.25">
      <c r="H765" s="22"/>
      <c r="K765" s="22"/>
      <c r="L765" s="22"/>
      <c r="P765" s="22"/>
    </row>
    <row r="766" spans="8:16" s="15" customFormat="1" x14ac:dyDescent="0.25">
      <c r="H766" s="22"/>
      <c r="K766" s="22"/>
      <c r="L766" s="22"/>
      <c r="P766" s="22"/>
    </row>
    <row r="767" spans="8:16" s="15" customFormat="1" x14ac:dyDescent="0.25">
      <c r="H767" s="22"/>
      <c r="K767" s="22"/>
      <c r="L767" s="22"/>
      <c r="P767" s="22"/>
    </row>
    <row r="768" spans="8:16" s="15" customFormat="1" x14ac:dyDescent="0.25">
      <c r="H768" s="22"/>
      <c r="K768" s="22"/>
      <c r="L768" s="22"/>
      <c r="P768" s="22"/>
    </row>
    <row r="769" spans="8:16" s="15" customFormat="1" x14ac:dyDescent="0.25">
      <c r="H769" s="22"/>
      <c r="K769" s="22"/>
      <c r="L769" s="22"/>
      <c r="P769" s="22"/>
    </row>
    <row r="770" spans="8:16" s="15" customFormat="1" x14ac:dyDescent="0.25">
      <c r="H770" s="22"/>
      <c r="K770" s="22"/>
      <c r="L770" s="22"/>
      <c r="P770" s="22"/>
    </row>
    <row r="771" spans="8:16" s="15" customFormat="1" x14ac:dyDescent="0.25">
      <c r="H771" s="22"/>
      <c r="K771" s="22"/>
      <c r="L771" s="22"/>
      <c r="P771" s="22"/>
    </row>
    <row r="772" spans="8:16" s="15" customFormat="1" x14ac:dyDescent="0.25">
      <c r="H772" s="22"/>
      <c r="K772" s="22"/>
      <c r="L772" s="22"/>
      <c r="P772" s="22"/>
    </row>
    <row r="773" spans="8:16" s="15" customFormat="1" x14ac:dyDescent="0.25">
      <c r="H773" s="22"/>
      <c r="K773" s="22"/>
      <c r="L773" s="22"/>
      <c r="P773" s="22"/>
    </row>
    <row r="774" spans="8:16" s="15" customFormat="1" x14ac:dyDescent="0.25">
      <c r="H774" s="22"/>
      <c r="K774" s="22"/>
      <c r="L774" s="22"/>
      <c r="P774" s="22"/>
    </row>
    <row r="775" spans="8:16" s="15" customFormat="1" x14ac:dyDescent="0.25">
      <c r="H775" s="22"/>
      <c r="K775" s="22"/>
      <c r="L775" s="22"/>
      <c r="P775" s="22"/>
    </row>
    <row r="776" spans="8:16" s="15" customFormat="1" x14ac:dyDescent="0.25">
      <c r="H776" s="22"/>
      <c r="K776" s="22"/>
      <c r="L776" s="22"/>
      <c r="P776" s="22"/>
    </row>
    <row r="777" spans="8:16" s="15" customFormat="1" x14ac:dyDescent="0.25">
      <c r="H777" s="22"/>
      <c r="K777" s="22"/>
      <c r="L777" s="22"/>
      <c r="P777" s="22"/>
    </row>
    <row r="778" spans="8:16" s="15" customFormat="1" x14ac:dyDescent="0.25">
      <c r="H778" s="22"/>
      <c r="K778" s="22"/>
      <c r="L778" s="22"/>
      <c r="P778" s="22"/>
    </row>
    <row r="779" spans="8:16" s="15" customFormat="1" x14ac:dyDescent="0.25">
      <c r="H779" s="22"/>
      <c r="K779" s="22"/>
      <c r="L779" s="22"/>
      <c r="P779" s="22"/>
    </row>
    <row r="780" spans="8:16" s="15" customFormat="1" x14ac:dyDescent="0.25">
      <c r="H780" s="22"/>
      <c r="K780" s="22"/>
      <c r="L780" s="22"/>
      <c r="P780" s="22"/>
    </row>
    <row r="781" spans="8:16" s="15" customFormat="1" x14ac:dyDescent="0.25">
      <c r="H781" s="22"/>
      <c r="K781" s="22"/>
      <c r="L781" s="22"/>
      <c r="P781" s="22"/>
    </row>
    <row r="782" spans="8:16" s="15" customFormat="1" x14ac:dyDescent="0.25">
      <c r="H782" s="22"/>
      <c r="K782" s="22"/>
      <c r="L782" s="22"/>
      <c r="P782" s="22"/>
    </row>
    <row r="783" spans="8:16" s="15" customFormat="1" x14ac:dyDescent="0.25">
      <c r="H783" s="22"/>
      <c r="K783" s="22"/>
      <c r="L783" s="22"/>
      <c r="P783" s="22"/>
    </row>
    <row r="784" spans="8:16" s="15" customFormat="1" x14ac:dyDescent="0.25">
      <c r="H784" s="22"/>
      <c r="K784" s="22"/>
      <c r="L784" s="22"/>
      <c r="P784" s="22"/>
    </row>
    <row r="785" spans="8:16" s="15" customFormat="1" x14ac:dyDescent="0.25">
      <c r="H785" s="22"/>
      <c r="K785" s="22"/>
      <c r="L785" s="22"/>
      <c r="P785" s="22"/>
    </row>
    <row r="786" spans="8:16" s="15" customFormat="1" x14ac:dyDescent="0.25">
      <c r="H786" s="22"/>
      <c r="K786" s="22"/>
      <c r="L786" s="22"/>
      <c r="P786" s="22"/>
    </row>
    <row r="787" spans="8:16" s="15" customFormat="1" x14ac:dyDescent="0.25">
      <c r="H787" s="22"/>
      <c r="K787" s="22"/>
      <c r="L787" s="22"/>
      <c r="P787" s="22"/>
    </row>
    <row r="788" spans="8:16" s="15" customFormat="1" x14ac:dyDescent="0.25">
      <c r="H788" s="22"/>
      <c r="K788" s="22"/>
      <c r="L788" s="22"/>
      <c r="P788" s="22"/>
    </row>
    <row r="789" spans="8:16" s="15" customFormat="1" x14ac:dyDescent="0.25">
      <c r="H789" s="22"/>
      <c r="K789" s="22"/>
      <c r="L789" s="22"/>
      <c r="P789" s="22"/>
    </row>
    <row r="790" spans="8:16" s="15" customFormat="1" x14ac:dyDescent="0.25">
      <c r="H790" s="22"/>
      <c r="K790" s="22"/>
      <c r="L790" s="22"/>
      <c r="P790" s="22"/>
    </row>
    <row r="791" spans="8:16" s="15" customFormat="1" x14ac:dyDescent="0.25">
      <c r="H791" s="22"/>
      <c r="K791" s="22"/>
      <c r="L791" s="22"/>
      <c r="P791" s="22"/>
    </row>
    <row r="792" spans="8:16" s="15" customFormat="1" x14ac:dyDescent="0.25">
      <c r="H792" s="22"/>
      <c r="K792" s="22"/>
      <c r="L792" s="22"/>
      <c r="P792" s="22"/>
    </row>
    <row r="793" spans="8:16" s="15" customFormat="1" x14ac:dyDescent="0.25">
      <c r="H793" s="22"/>
      <c r="K793" s="22"/>
      <c r="L793" s="22"/>
      <c r="P793" s="22"/>
    </row>
    <row r="794" spans="8:16" s="15" customFormat="1" x14ac:dyDescent="0.25">
      <c r="H794" s="22"/>
      <c r="K794" s="22"/>
      <c r="L794" s="22"/>
      <c r="P794" s="22"/>
    </row>
    <row r="795" spans="8:16" s="15" customFormat="1" x14ac:dyDescent="0.25">
      <c r="H795" s="22"/>
      <c r="K795" s="22"/>
      <c r="L795" s="22"/>
      <c r="P795" s="22"/>
    </row>
    <row r="796" spans="8:16" s="15" customFormat="1" x14ac:dyDescent="0.25">
      <c r="H796" s="22"/>
      <c r="K796" s="22"/>
      <c r="L796" s="22"/>
      <c r="P796" s="22"/>
    </row>
    <row r="797" spans="8:16" s="15" customFormat="1" x14ac:dyDescent="0.25">
      <c r="H797" s="22"/>
      <c r="K797" s="22"/>
      <c r="L797" s="22"/>
      <c r="P797" s="22"/>
    </row>
    <row r="798" spans="8:16" s="15" customFormat="1" x14ac:dyDescent="0.25">
      <c r="H798" s="22"/>
      <c r="K798" s="22"/>
      <c r="L798" s="22"/>
      <c r="P798" s="22"/>
    </row>
    <row r="799" spans="8:16" s="15" customFormat="1" x14ac:dyDescent="0.25">
      <c r="H799" s="22"/>
      <c r="K799" s="22"/>
      <c r="L799" s="22"/>
      <c r="P799" s="22"/>
    </row>
    <row r="800" spans="8:16" s="15" customFormat="1" x14ac:dyDescent="0.25">
      <c r="H800" s="22"/>
      <c r="K800" s="22"/>
      <c r="L800" s="22"/>
      <c r="P800" s="22"/>
    </row>
    <row r="801" spans="8:16" s="15" customFormat="1" x14ac:dyDescent="0.25">
      <c r="H801" s="22"/>
      <c r="K801" s="22"/>
      <c r="L801" s="22"/>
      <c r="P801" s="22"/>
    </row>
    <row r="802" spans="8:16" s="15" customFormat="1" x14ac:dyDescent="0.25">
      <c r="H802" s="22"/>
      <c r="K802" s="22"/>
      <c r="L802" s="22"/>
      <c r="P802" s="22"/>
    </row>
    <row r="803" spans="8:16" s="15" customFormat="1" x14ac:dyDescent="0.25">
      <c r="H803" s="22"/>
      <c r="K803" s="22"/>
      <c r="L803" s="22"/>
      <c r="P803" s="22"/>
    </row>
    <row r="804" spans="8:16" s="15" customFormat="1" x14ac:dyDescent="0.25">
      <c r="H804" s="22"/>
      <c r="K804" s="22"/>
      <c r="L804" s="22"/>
      <c r="P804" s="22"/>
    </row>
    <row r="805" spans="8:16" s="15" customFormat="1" x14ac:dyDescent="0.25">
      <c r="H805" s="22"/>
      <c r="K805" s="22"/>
      <c r="L805" s="22"/>
      <c r="P805" s="22"/>
    </row>
    <row r="806" spans="8:16" s="15" customFormat="1" x14ac:dyDescent="0.25">
      <c r="H806" s="22"/>
      <c r="K806" s="22"/>
      <c r="L806" s="22"/>
      <c r="P806" s="22"/>
    </row>
    <row r="807" spans="8:16" s="15" customFormat="1" x14ac:dyDescent="0.25">
      <c r="H807" s="22"/>
      <c r="K807" s="22"/>
      <c r="L807" s="22"/>
      <c r="P807" s="22"/>
    </row>
    <row r="808" spans="8:16" s="15" customFormat="1" x14ac:dyDescent="0.25">
      <c r="H808" s="22"/>
      <c r="K808" s="22"/>
      <c r="L808" s="22"/>
      <c r="P808" s="22"/>
    </row>
    <row r="809" spans="8:16" s="15" customFormat="1" x14ac:dyDescent="0.25">
      <c r="H809" s="22"/>
      <c r="K809" s="22"/>
      <c r="L809" s="22"/>
      <c r="P809" s="22"/>
    </row>
    <row r="810" spans="8:16" s="15" customFormat="1" x14ac:dyDescent="0.25">
      <c r="H810" s="22"/>
      <c r="K810" s="22"/>
      <c r="L810" s="22"/>
      <c r="P810" s="22"/>
    </row>
    <row r="811" spans="8:16" s="15" customFormat="1" x14ac:dyDescent="0.25">
      <c r="H811" s="22"/>
      <c r="K811" s="22"/>
      <c r="L811" s="22"/>
      <c r="P811" s="22"/>
    </row>
    <row r="812" spans="8:16" s="15" customFormat="1" x14ac:dyDescent="0.25">
      <c r="H812" s="22"/>
      <c r="K812" s="22"/>
      <c r="L812" s="22"/>
      <c r="P812" s="22"/>
    </row>
    <row r="813" spans="8:16" s="15" customFormat="1" x14ac:dyDescent="0.25">
      <c r="H813" s="22"/>
      <c r="K813" s="22"/>
      <c r="L813" s="22"/>
      <c r="P813" s="22"/>
    </row>
    <row r="814" spans="8:16" s="15" customFormat="1" x14ac:dyDescent="0.25">
      <c r="H814" s="22"/>
      <c r="K814" s="22"/>
      <c r="L814" s="22"/>
      <c r="P814" s="22"/>
    </row>
    <row r="815" spans="8:16" s="15" customFormat="1" x14ac:dyDescent="0.25">
      <c r="H815" s="22"/>
      <c r="K815" s="22"/>
      <c r="L815" s="22"/>
      <c r="P815" s="22"/>
    </row>
    <row r="816" spans="8:16" s="15" customFormat="1" x14ac:dyDescent="0.25">
      <c r="H816" s="22"/>
      <c r="K816" s="22"/>
      <c r="L816" s="22"/>
      <c r="P816" s="22"/>
    </row>
    <row r="817" spans="8:16" s="15" customFormat="1" x14ac:dyDescent="0.25">
      <c r="H817" s="22"/>
      <c r="K817" s="22"/>
      <c r="L817" s="22"/>
      <c r="P817" s="22"/>
    </row>
    <row r="818" spans="8:16" s="15" customFormat="1" x14ac:dyDescent="0.25">
      <c r="H818" s="22"/>
      <c r="K818" s="22"/>
      <c r="L818" s="22"/>
      <c r="P818" s="22"/>
    </row>
    <row r="819" spans="8:16" s="15" customFormat="1" x14ac:dyDescent="0.25">
      <c r="H819" s="22"/>
      <c r="K819" s="22"/>
      <c r="L819" s="22"/>
      <c r="P819" s="22"/>
    </row>
    <row r="820" spans="8:16" s="15" customFormat="1" x14ac:dyDescent="0.25">
      <c r="H820" s="22"/>
      <c r="K820" s="22"/>
      <c r="L820" s="22"/>
      <c r="P820" s="22"/>
    </row>
    <row r="821" spans="8:16" s="15" customFormat="1" x14ac:dyDescent="0.25">
      <c r="H821" s="22"/>
      <c r="K821" s="22"/>
      <c r="L821" s="22"/>
      <c r="P821" s="22"/>
    </row>
    <row r="822" spans="8:16" s="15" customFormat="1" x14ac:dyDescent="0.25">
      <c r="H822" s="22"/>
      <c r="K822" s="22"/>
      <c r="L822" s="22"/>
      <c r="P822" s="22"/>
    </row>
    <row r="823" spans="8:16" s="15" customFormat="1" x14ac:dyDescent="0.25">
      <c r="H823" s="22"/>
      <c r="K823" s="22"/>
      <c r="L823" s="22"/>
      <c r="P823" s="22"/>
    </row>
    <row r="824" spans="8:16" s="15" customFormat="1" x14ac:dyDescent="0.25">
      <c r="H824" s="22"/>
      <c r="K824" s="22"/>
      <c r="L824" s="22"/>
      <c r="P824" s="22"/>
    </row>
    <row r="825" spans="8:16" s="15" customFormat="1" x14ac:dyDescent="0.25">
      <c r="H825" s="22"/>
      <c r="K825" s="22"/>
      <c r="L825" s="22"/>
      <c r="P825" s="22"/>
    </row>
    <row r="826" spans="8:16" s="15" customFormat="1" x14ac:dyDescent="0.25">
      <c r="H826" s="22"/>
      <c r="K826" s="22"/>
      <c r="L826" s="22"/>
      <c r="P826" s="22"/>
    </row>
    <row r="827" spans="8:16" s="15" customFormat="1" x14ac:dyDescent="0.25">
      <c r="H827" s="22"/>
      <c r="K827" s="22"/>
      <c r="L827" s="22"/>
      <c r="P827" s="22"/>
    </row>
    <row r="828" spans="8:16" s="15" customFormat="1" x14ac:dyDescent="0.25">
      <c r="H828" s="22"/>
      <c r="K828" s="22"/>
      <c r="L828" s="22"/>
      <c r="P828" s="22"/>
    </row>
    <row r="829" spans="8:16" s="15" customFormat="1" x14ac:dyDescent="0.25">
      <c r="H829" s="22"/>
      <c r="K829" s="22"/>
      <c r="L829" s="22"/>
      <c r="P829" s="22"/>
    </row>
    <row r="830" spans="8:16" s="15" customFormat="1" x14ac:dyDescent="0.25">
      <c r="H830" s="22"/>
      <c r="K830" s="22"/>
      <c r="L830" s="22"/>
      <c r="P830" s="22"/>
    </row>
    <row r="831" spans="8:16" s="15" customFormat="1" x14ac:dyDescent="0.25">
      <c r="H831" s="22"/>
      <c r="K831" s="22"/>
      <c r="L831" s="22"/>
      <c r="P831" s="22"/>
    </row>
    <row r="832" spans="8:16" s="15" customFormat="1" x14ac:dyDescent="0.25">
      <c r="H832" s="22"/>
      <c r="K832" s="22"/>
      <c r="L832" s="22"/>
      <c r="P832" s="22"/>
    </row>
    <row r="833" spans="8:16" s="15" customFormat="1" x14ac:dyDescent="0.25">
      <c r="H833" s="22"/>
      <c r="K833" s="22"/>
      <c r="L833" s="22"/>
      <c r="P833" s="22"/>
    </row>
    <row r="834" spans="8:16" s="15" customFormat="1" x14ac:dyDescent="0.25">
      <c r="H834" s="22"/>
      <c r="K834" s="22"/>
      <c r="L834" s="22"/>
      <c r="P834" s="22"/>
    </row>
    <row r="835" spans="8:16" s="15" customFormat="1" x14ac:dyDescent="0.25">
      <c r="H835" s="22"/>
      <c r="K835" s="22"/>
      <c r="L835" s="22"/>
      <c r="P835" s="22"/>
    </row>
    <row r="836" spans="8:16" s="15" customFormat="1" x14ac:dyDescent="0.25">
      <c r="H836" s="22"/>
      <c r="K836" s="22"/>
      <c r="L836" s="22"/>
      <c r="P836" s="22"/>
    </row>
    <row r="837" spans="8:16" s="15" customFormat="1" x14ac:dyDescent="0.25">
      <c r="H837" s="22"/>
      <c r="K837" s="22"/>
      <c r="L837" s="22"/>
      <c r="P837" s="22"/>
    </row>
    <row r="838" spans="8:16" s="15" customFormat="1" x14ac:dyDescent="0.25">
      <c r="H838" s="22"/>
      <c r="K838" s="22"/>
      <c r="L838" s="22"/>
      <c r="P838" s="22"/>
    </row>
    <row r="839" spans="8:16" s="15" customFormat="1" x14ac:dyDescent="0.25">
      <c r="H839" s="22"/>
      <c r="K839" s="22"/>
      <c r="L839" s="22"/>
      <c r="P839" s="22"/>
    </row>
    <row r="840" spans="8:16" s="15" customFormat="1" x14ac:dyDescent="0.25">
      <c r="H840" s="22"/>
      <c r="K840" s="22"/>
      <c r="L840" s="22"/>
      <c r="P840" s="22"/>
    </row>
    <row r="841" spans="8:16" s="15" customFormat="1" x14ac:dyDescent="0.25">
      <c r="H841" s="22"/>
      <c r="K841" s="22"/>
      <c r="L841" s="22"/>
      <c r="P841" s="22"/>
    </row>
    <row r="842" spans="8:16" s="15" customFormat="1" x14ac:dyDescent="0.25">
      <c r="H842" s="22"/>
      <c r="K842" s="22"/>
      <c r="L842" s="22"/>
      <c r="P842" s="22"/>
    </row>
    <row r="843" spans="8:16" s="15" customFormat="1" x14ac:dyDescent="0.25">
      <c r="H843" s="22"/>
      <c r="K843" s="22"/>
      <c r="L843" s="22"/>
      <c r="P843" s="22"/>
    </row>
    <row r="844" spans="8:16" s="15" customFormat="1" x14ac:dyDescent="0.25">
      <c r="H844" s="22"/>
      <c r="K844" s="22"/>
      <c r="L844" s="22"/>
      <c r="P844" s="22"/>
    </row>
    <row r="845" spans="8:16" s="15" customFormat="1" x14ac:dyDescent="0.25">
      <c r="H845" s="22"/>
      <c r="K845" s="22"/>
      <c r="L845" s="22"/>
      <c r="P845" s="22"/>
    </row>
    <row r="846" spans="8:16" s="15" customFormat="1" x14ac:dyDescent="0.25">
      <c r="H846" s="22"/>
      <c r="K846" s="22"/>
      <c r="L846" s="22"/>
      <c r="P846" s="22"/>
    </row>
    <row r="847" spans="8:16" s="15" customFormat="1" x14ac:dyDescent="0.25">
      <c r="H847" s="22"/>
      <c r="K847" s="22"/>
      <c r="L847" s="22"/>
      <c r="P847" s="22"/>
    </row>
    <row r="848" spans="8:16" s="15" customFormat="1" x14ac:dyDescent="0.25">
      <c r="H848" s="22"/>
      <c r="K848" s="22"/>
      <c r="L848" s="22"/>
      <c r="P848" s="22"/>
    </row>
    <row r="849" spans="8:16" s="15" customFormat="1" x14ac:dyDescent="0.25">
      <c r="H849" s="22"/>
      <c r="K849" s="22"/>
      <c r="L849" s="22"/>
      <c r="P849" s="22"/>
    </row>
    <row r="850" spans="8:16" s="15" customFormat="1" x14ac:dyDescent="0.25">
      <c r="H850" s="22"/>
      <c r="K850" s="22"/>
      <c r="L850" s="22"/>
      <c r="P850" s="22"/>
    </row>
    <row r="851" spans="8:16" s="15" customFormat="1" x14ac:dyDescent="0.25">
      <c r="H851" s="22"/>
      <c r="K851" s="22"/>
      <c r="L851" s="22"/>
      <c r="P851" s="22"/>
    </row>
    <row r="852" spans="8:16" s="15" customFormat="1" x14ac:dyDescent="0.25">
      <c r="H852" s="22"/>
      <c r="K852" s="22"/>
      <c r="L852" s="22"/>
      <c r="P852" s="22"/>
    </row>
    <row r="853" spans="8:16" s="15" customFormat="1" x14ac:dyDescent="0.25">
      <c r="H853" s="22"/>
      <c r="K853" s="22"/>
      <c r="L853" s="22"/>
      <c r="P853" s="22"/>
    </row>
    <row r="854" spans="8:16" s="15" customFormat="1" x14ac:dyDescent="0.25">
      <c r="H854" s="22"/>
      <c r="K854" s="22"/>
      <c r="L854" s="22"/>
      <c r="P854" s="22"/>
    </row>
    <row r="855" spans="8:16" s="15" customFormat="1" x14ac:dyDescent="0.25">
      <c r="H855" s="22"/>
      <c r="K855" s="22"/>
      <c r="L855" s="22"/>
      <c r="P855" s="22"/>
    </row>
    <row r="856" spans="8:16" s="15" customFormat="1" x14ac:dyDescent="0.25">
      <c r="H856" s="22"/>
      <c r="K856" s="22"/>
      <c r="L856" s="22"/>
      <c r="P856" s="22"/>
    </row>
    <row r="857" spans="8:16" s="15" customFormat="1" x14ac:dyDescent="0.25">
      <c r="H857" s="22"/>
      <c r="K857" s="22"/>
      <c r="L857" s="22"/>
      <c r="P857" s="22"/>
    </row>
    <row r="858" spans="8:16" s="15" customFormat="1" x14ac:dyDescent="0.25">
      <c r="H858" s="22"/>
      <c r="K858" s="22"/>
      <c r="L858" s="22"/>
      <c r="P858" s="22"/>
    </row>
    <row r="859" spans="8:16" s="15" customFormat="1" x14ac:dyDescent="0.25">
      <c r="H859" s="22"/>
      <c r="K859" s="22"/>
      <c r="L859" s="22"/>
      <c r="P859" s="22"/>
    </row>
    <row r="860" spans="8:16" s="15" customFormat="1" x14ac:dyDescent="0.25">
      <c r="H860" s="22"/>
      <c r="K860" s="22"/>
      <c r="L860" s="22"/>
      <c r="P860" s="22"/>
    </row>
    <row r="861" spans="8:16" s="15" customFormat="1" x14ac:dyDescent="0.25">
      <c r="H861" s="22"/>
      <c r="K861" s="22"/>
      <c r="L861" s="22"/>
      <c r="P861" s="22"/>
    </row>
    <row r="862" spans="8:16" s="15" customFormat="1" x14ac:dyDescent="0.25">
      <c r="H862" s="22"/>
      <c r="K862" s="22"/>
      <c r="L862" s="22"/>
      <c r="P862" s="22"/>
    </row>
    <row r="863" spans="8:16" s="15" customFormat="1" x14ac:dyDescent="0.25">
      <c r="H863" s="22"/>
      <c r="K863" s="22"/>
      <c r="L863" s="22"/>
      <c r="P863" s="22"/>
    </row>
    <row r="864" spans="8:16" s="15" customFormat="1" x14ac:dyDescent="0.25">
      <c r="H864" s="22"/>
      <c r="K864" s="22"/>
      <c r="L864" s="22"/>
      <c r="P864" s="22"/>
    </row>
    <row r="865" spans="8:16" s="15" customFormat="1" x14ac:dyDescent="0.25">
      <c r="H865" s="22"/>
      <c r="K865" s="22"/>
      <c r="L865" s="22"/>
      <c r="P865" s="22"/>
    </row>
    <row r="866" spans="8:16" s="15" customFormat="1" x14ac:dyDescent="0.25">
      <c r="H866" s="22"/>
      <c r="K866" s="22"/>
      <c r="L866" s="22"/>
      <c r="P866" s="22"/>
    </row>
    <row r="867" spans="8:16" s="15" customFormat="1" x14ac:dyDescent="0.25">
      <c r="H867" s="22"/>
      <c r="K867" s="22"/>
      <c r="L867" s="22"/>
      <c r="P867" s="22"/>
    </row>
    <row r="868" spans="8:16" s="15" customFormat="1" x14ac:dyDescent="0.25">
      <c r="H868" s="22"/>
      <c r="K868" s="22"/>
      <c r="L868" s="22"/>
      <c r="P868" s="22"/>
    </row>
    <row r="869" spans="8:16" s="15" customFormat="1" x14ac:dyDescent="0.25">
      <c r="H869" s="22"/>
      <c r="K869" s="22"/>
      <c r="L869" s="22"/>
      <c r="P869" s="22"/>
    </row>
    <row r="870" spans="8:16" s="15" customFormat="1" x14ac:dyDescent="0.25">
      <c r="H870" s="22"/>
      <c r="K870" s="22"/>
      <c r="L870" s="22"/>
      <c r="P870" s="22"/>
    </row>
    <row r="871" spans="8:16" s="15" customFormat="1" x14ac:dyDescent="0.25">
      <c r="H871" s="22"/>
      <c r="K871" s="22"/>
      <c r="L871" s="22"/>
      <c r="P871" s="22"/>
    </row>
    <row r="872" spans="8:16" s="15" customFormat="1" x14ac:dyDescent="0.25">
      <c r="H872" s="22"/>
      <c r="K872" s="22"/>
      <c r="L872" s="22"/>
      <c r="P872" s="22"/>
    </row>
    <row r="873" spans="8:16" s="15" customFormat="1" x14ac:dyDescent="0.25">
      <c r="H873" s="22"/>
      <c r="K873" s="22"/>
      <c r="L873" s="22"/>
      <c r="P873" s="22"/>
    </row>
    <row r="874" spans="8:16" s="15" customFormat="1" x14ac:dyDescent="0.25">
      <c r="H874" s="22"/>
      <c r="K874" s="22"/>
      <c r="L874" s="22"/>
      <c r="P874" s="22"/>
    </row>
    <row r="875" spans="8:16" s="15" customFormat="1" x14ac:dyDescent="0.25">
      <c r="H875" s="22"/>
      <c r="K875" s="22"/>
      <c r="L875" s="22"/>
      <c r="P875" s="22"/>
    </row>
    <row r="876" spans="8:16" s="15" customFormat="1" x14ac:dyDescent="0.25">
      <c r="H876" s="22"/>
      <c r="K876" s="22"/>
      <c r="L876" s="22"/>
      <c r="P876" s="22"/>
    </row>
    <row r="877" spans="8:16" s="15" customFormat="1" x14ac:dyDescent="0.25">
      <c r="H877" s="22"/>
      <c r="K877" s="22"/>
      <c r="L877" s="22"/>
      <c r="P877" s="22"/>
    </row>
    <row r="878" spans="8:16" s="15" customFormat="1" x14ac:dyDescent="0.25">
      <c r="H878" s="22"/>
      <c r="K878" s="22"/>
      <c r="L878" s="22"/>
      <c r="P878" s="22"/>
    </row>
    <row r="879" spans="8:16" s="15" customFormat="1" x14ac:dyDescent="0.25">
      <c r="H879" s="22"/>
      <c r="K879" s="22"/>
      <c r="L879" s="22"/>
      <c r="P879" s="22"/>
    </row>
    <row r="880" spans="8:16" s="15" customFormat="1" x14ac:dyDescent="0.25">
      <c r="H880" s="22"/>
      <c r="K880" s="22"/>
      <c r="L880" s="22"/>
      <c r="P880" s="22"/>
    </row>
    <row r="881" spans="8:16" s="15" customFormat="1" x14ac:dyDescent="0.25">
      <c r="H881" s="22"/>
      <c r="K881" s="22"/>
      <c r="L881" s="22"/>
      <c r="P881" s="22"/>
    </row>
    <row r="882" spans="8:16" s="15" customFormat="1" x14ac:dyDescent="0.25">
      <c r="H882" s="22"/>
      <c r="K882" s="22"/>
      <c r="L882" s="22"/>
      <c r="P882" s="22"/>
    </row>
    <row r="883" spans="8:16" s="15" customFormat="1" x14ac:dyDescent="0.25">
      <c r="H883" s="22"/>
      <c r="K883" s="22"/>
      <c r="L883" s="22"/>
      <c r="P883" s="22"/>
    </row>
    <row r="884" spans="8:16" s="15" customFormat="1" x14ac:dyDescent="0.25">
      <c r="H884" s="22"/>
      <c r="K884" s="22"/>
      <c r="L884" s="22"/>
      <c r="P884" s="22"/>
    </row>
    <row r="885" spans="8:16" s="15" customFormat="1" x14ac:dyDescent="0.25">
      <c r="H885" s="22"/>
      <c r="K885" s="22"/>
      <c r="L885" s="22"/>
      <c r="P885" s="22"/>
    </row>
    <row r="886" spans="8:16" s="15" customFormat="1" x14ac:dyDescent="0.25">
      <c r="H886" s="22"/>
      <c r="K886" s="22"/>
      <c r="L886" s="22"/>
      <c r="P886" s="22"/>
    </row>
    <row r="887" spans="8:16" s="15" customFormat="1" x14ac:dyDescent="0.25">
      <c r="H887" s="22"/>
      <c r="K887" s="22"/>
      <c r="L887" s="22"/>
      <c r="P887" s="22"/>
    </row>
    <row r="888" spans="8:16" s="15" customFormat="1" x14ac:dyDescent="0.25">
      <c r="H888" s="22"/>
      <c r="K888" s="22"/>
      <c r="L888" s="22"/>
      <c r="P888" s="22"/>
    </row>
    <row r="889" spans="8:16" s="15" customFormat="1" x14ac:dyDescent="0.25">
      <c r="H889" s="22"/>
      <c r="K889" s="22"/>
      <c r="L889" s="22"/>
      <c r="P889" s="22"/>
    </row>
    <row r="890" spans="8:16" s="15" customFormat="1" x14ac:dyDescent="0.25">
      <c r="H890" s="22"/>
      <c r="K890" s="22"/>
      <c r="L890" s="22"/>
      <c r="P890" s="22"/>
    </row>
    <row r="891" spans="8:16" s="15" customFormat="1" x14ac:dyDescent="0.25">
      <c r="H891" s="22"/>
      <c r="K891" s="22"/>
      <c r="L891" s="22"/>
      <c r="P891" s="22"/>
    </row>
    <row r="892" spans="8:16" s="15" customFormat="1" x14ac:dyDescent="0.25">
      <c r="H892" s="22"/>
      <c r="K892" s="22"/>
      <c r="L892" s="22"/>
      <c r="P892" s="22"/>
    </row>
    <row r="893" spans="8:16" s="15" customFormat="1" x14ac:dyDescent="0.25">
      <c r="H893" s="22"/>
      <c r="K893" s="22"/>
      <c r="L893" s="22"/>
      <c r="P893" s="22"/>
    </row>
    <row r="894" spans="8:16" s="15" customFormat="1" x14ac:dyDescent="0.25">
      <c r="H894" s="22"/>
      <c r="K894" s="22"/>
      <c r="L894" s="22"/>
      <c r="P894" s="22"/>
    </row>
    <row r="895" spans="8:16" s="15" customFormat="1" x14ac:dyDescent="0.25">
      <c r="H895" s="22"/>
      <c r="K895" s="22"/>
      <c r="L895" s="22"/>
      <c r="P895" s="22"/>
    </row>
    <row r="896" spans="8:16" s="15" customFormat="1" x14ac:dyDescent="0.25">
      <c r="H896" s="22"/>
      <c r="K896" s="22"/>
      <c r="L896" s="22"/>
      <c r="P896" s="22"/>
    </row>
    <row r="897" spans="8:16" s="15" customFormat="1" x14ac:dyDescent="0.25">
      <c r="H897" s="22"/>
      <c r="K897" s="22"/>
      <c r="L897" s="22"/>
      <c r="P897" s="22"/>
    </row>
    <row r="898" spans="8:16" s="15" customFormat="1" x14ac:dyDescent="0.25">
      <c r="H898" s="22"/>
      <c r="K898" s="22"/>
      <c r="L898" s="22"/>
      <c r="P898" s="22"/>
    </row>
    <row r="899" spans="8:16" s="15" customFormat="1" x14ac:dyDescent="0.25">
      <c r="H899" s="22"/>
      <c r="K899" s="22"/>
      <c r="L899" s="22"/>
      <c r="P899" s="22"/>
    </row>
    <row r="900" spans="8:16" s="15" customFormat="1" x14ac:dyDescent="0.25">
      <c r="H900" s="22"/>
      <c r="K900" s="22"/>
      <c r="L900" s="22"/>
      <c r="P900" s="22"/>
    </row>
    <row r="901" spans="8:16" s="15" customFormat="1" x14ac:dyDescent="0.25">
      <c r="H901" s="22"/>
      <c r="K901" s="22"/>
      <c r="L901" s="22"/>
      <c r="P901" s="22"/>
    </row>
    <row r="902" spans="8:16" s="15" customFormat="1" x14ac:dyDescent="0.25">
      <c r="H902" s="22"/>
      <c r="K902" s="22"/>
      <c r="L902" s="22"/>
      <c r="P902" s="22"/>
    </row>
    <row r="903" spans="8:16" s="15" customFormat="1" x14ac:dyDescent="0.25">
      <c r="H903" s="22"/>
      <c r="K903" s="22"/>
      <c r="L903" s="22"/>
      <c r="P903" s="22"/>
    </row>
    <row r="904" spans="8:16" s="15" customFormat="1" x14ac:dyDescent="0.25">
      <c r="H904" s="22"/>
      <c r="K904" s="22"/>
      <c r="L904" s="22"/>
      <c r="P904" s="22"/>
    </row>
    <row r="905" spans="8:16" s="15" customFormat="1" x14ac:dyDescent="0.25">
      <c r="H905" s="22"/>
      <c r="K905" s="22"/>
      <c r="L905" s="22"/>
      <c r="P905" s="22"/>
    </row>
    <row r="906" spans="8:16" s="15" customFormat="1" x14ac:dyDescent="0.25">
      <c r="H906" s="22"/>
      <c r="K906" s="22"/>
      <c r="L906" s="22"/>
      <c r="P906" s="22"/>
    </row>
    <row r="907" spans="8:16" s="15" customFormat="1" x14ac:dyDescent="0.25">
      <c r="H907" s="22"/>
      <c r="K907" s="22"/>
      <c r="L907" s="22"/>
      <c r="P907" s="22"/>
    </row>
    <row r="908" spans="8:16" s="15" customFormat="1" x14ac:dyDescent="0.25">
      <c r="H908" s="22"/>
      <c r="K908" s="22"/>
      <c r="L908" s="22"/>
      <c r="P908" s="22"/>
    </row>
    <row r="909" spans="8:16" s="15" customFormat="1" x14ac:dyDescent="0.25">
      <c r="H909" s="22"/>
      <c r="K909" s="22"/>
      <c r="L909" s="22"/>
      <c r="P909" s="22"/>
    </row>
    <row r="910" spans="8:16" s="15" customFormat="1" x14ac:dyDescent="0.25">
      <c r="H910" s="22"/>
      <c r="K910" s="22"/>
      <c r="L910" s="22"/>
      <c r="P910" s="22"/>
    </row>
    <row r="911" spans="8:16" s="15" customFormat="1" x14ac:dyDescent="0.25">
      <c r="H911" s="22"/>
      <c r="K911" s="22"/>
      <c r="L911" s="22"/>
      <c r="P911" s="22"/>
    </row>
    <row r="912" spans="8:16" s="15" customFormat="1" x14ac:dyDescent="0.25">
      <c r="H912" s="22"/>
      <c r="K912" s="22"/>
      <c r="L912" s="22"/>
      <c r="P912" s="22"/>
    </row>
    <row r="913" spans="8:16" s="15" customFormat="1" x14ac:dyDescent="0.25">
      <c r="H913" s="22"/>
      <c r="K913" s="22"/>
      <c r="L913" s="22"/>
      <c r="P913" s="22"/>
    </row>
    <row r="914" spans="8:16" s="15" customFormat="1" x14ac:dyDescent="0.25">
      <c r="H914" s="22"/>
      <c r="K914" s="22"/>
      <c r="L914" s="22"/>
      <c r="P914" s="22"/>
    </row>
    <row r="915" spans="8:16" s="15" customFormat="1" x14ac:dyDescent="0.25">
      <c r="H915" s="22"/>
      <c r="K915" s="22"/>
      <c r="L915" s="22"/>
      <c r="P915" s="22"/>
    </row>
    <row r="916" spans="8:16" s="15" customFormat="1" x14ac:dyDescent="0.25">
      <c r="H916" s="22"/>
      <c r="K916" s="22"/>
      <c r="L916" s="22"/>
      <c r="P916" s="22"/>
    </row>
    <row r="917" spans="8:16" s="15" customFormat="1" x14ac:dyDescent="0.25">
      <c r="H917" s="22"/>
      <c r="K917" s="22"/>
      <c r="L917" s="22"/>
      <c r="P917" s="22"/>
    </row>
    <row r="918" spans="8:16" s="15" customFormat="1" x14ac:dyDescent="0.25">
      <c r="H918" s="22"/>
      <c r="K918" s="22"/>
      <c r="L918" s="22"/>
      <c r="P918" s="22"/>
    </row>
    <row r="919" spans="8:16" s="15" customFormat="1" x14ac:dyDescent="0.25">
      <c r="H919" s="22"/>
      <c r="K919" s="22"/>
      <c r="L919" s="22"/>
      <c r="P919" s="22"/>
    </row>
    <row r="920" spans="8:16" s="15" customFormat="1" x14ac:dyDescent="0.25">
      <c r="H920" s="22"/>
      <c r="K920" s="22"/>
      <c r="L920" s="22"/>
      <c r="P920" s="22"/>
    </row>
    <row r="921" spans="8:16" s="15" customFormat="1" x14ac:dyDescent="0.25">
      <c r="H921" s="22"/>
      <c r="K921" s="22"/>
      <c r="L921" s="22"/>
      <c r="P921" s="22"/>
    </row>
    <row r="922" spans="8:16" s="15" customFormat="1" x14ac:dyDescent="0.25">
      <c r="H922" s="22"/>
      <c r="K922" s="22"/>
      <c r="L922" s="22"/>
      <c r="P922" s="22"/>
    </row>
    <row r="923" spans="8:16" s="15" customFormat="1" x14ac:dyDescent="0.25">
      <c r="H923" s="22"/>
      <c r="K923" s="22"/>
      <c r="L923" s="22"/>
      <c r="P923" s="22"/>
    </row>
    <row r="924" spans="8:16" s="15" customFormat="1" x14ac:dyDescent="0.25">
      <c r="H924" s="22"/>
      <c r="K924" s="22"/>
      <c r="L924" s="22"/>
      <c r="P924" s="22"/>
    </row>
    <row r="925" spans="8:16" s="15" customFormat="1" x14ac:dyDescent="0.25">
      <c r="H925" s="22"/>
      <c r="K925" s="22"/>
      <c r="L925" s="22"/>
      <c r="P925" s="22"/>
    </row>
    <row r="926" spans="8:16" s="15" customFormat="1" x14ac:dyDescent="0.25">
      <c r="H926" s="22"/>
      <c r="K926" s="22"/>
      <c r="L926" s="22"/>
      <c r="P926" s="22"/>
    </row>
    <row r="927" spans="8:16" s="15" customFormat="1" x14ac:dyDescent="0.25">
      <c r="H927" s="22"/>
      <c r="K927" s="22"/>
      <c r="L927" s="22"/>
      <c r="P927" s="22"/>
    </row>
    <row r="928" spans="8:16" s="15" customFormat="1" x14ac:dyDescent="0.25">
      <c r="H928" s="22"/>
      <c r="K928" s="22"/>
      <c r="L928" s="22"/>
      <c r="P928" s="22"/>
    </row>
    <row r="929" spans="8:16" s="15" customFormat="1" x14ac:dyDescent="0.25">
      <c r="H929" s="22"/>
      <c r="K929" s="22"/>
      <c r="L929" s="22"/>
      <c r="P929" s="22"/>
    </row>
    <row r="930" spans="8:16" s="15" customFormat="1" x14ac:dyDescent="0.25">
      <c r="H930" s="22"/>
      <c r="K930" s="22"/>
      <c r="L930" s="22"/>
      <c r="P930" s="22"/>
    </row>
    <row r="931" spans="8:16" s="15" customFormat="1" x14ac:dyDescent="0.25">
      <c r="H931" s="22"/>
      <c r="K931" s="22"/>
      <c r="L931" s="22"/>
      <c r="P931" s="22"/>
    </row>
    <row r="932" spans="8:16" s="15" customFormat="1" x14ac:dyDescent="0.25">
      <c r="H932" s="22"/>
      <c r="K932" s="22"/>
      <c r="L932" s="22"/>
      <c r="P932" s="22"/>
    </row>
    <row r="933" spans="8:16" s="15" customFormat="1" x14ac:dyDescent="0.25">
      <c r="H933" s="22"/>
      <c r="K933" s="22"/>
      <c r="L933" s="22"/>
      <c r="P933" s="22"/>
    </row>
    <row r="934" spans="8:16" s="15" customFormat="1" x14ac:dyDescent="0.25">
      <c r="H934" s="22"/>
      <c r="K934" s="22"/>
      <c r="L934" s="22"/>
      <c r="P934" s="22"/>
    </row>
    <row r="935" spans="8:16" s="15" customFormat="1" x14ac:dyDescent="0.25">
      <c r="H935" s="22"/>
      <c r="K935" s="22"/>
      <c r="L935" s="22"/>
      <c r="P935" s="22"/>
    </row>
    <row r="936" spans="8:16" s="15" customFormat="1" x14ac:dyDescent="0.25">
      <c r="H936" s="22"/>
      <c r="K936" s="22"/>
      <c r="L936" s="22"/>
      <c r="P936" s="22"/>
    </row>
    <row r="937" spans="8:16" s="15" customFormat="1" x14ac:dyDescent="0.25">
      <c r="H937" s="22"/>
      <c r="K937" s="22"/>
      <c r="L937" s="22"/>
      <c r="P937" s="22"/>
    </row>
    <row r="938" spans="8:16" s="15" customFormat="1" x14ac:dyDescent="0.25">
      <c r="H938" s="22"/>
      <c r="K938" s="22"/>
      <c r="L938" s="22"/>
      <c r="P938" s="22"/>
    </row>
    <row r="939" spans="8:16" s="15" customFormat="1" x14ac:dyDescent="0.25">
      <c r="H939" s="22"/>
      <c r="K939" s="22"/>
      <c r="L939" s="22"/>
      <c r="P939" s="22"/>
    </row>
    <row r="940" spans="8:16" s="15" customFormat="1" x14ac:dyDescent="0.25">
      <c r="H940" s="22"/>
      <c r="K940" s="22"/>
      <c r="L940" s="22"/>
      <c r="P940" s="22"/>
    </row>
    <row r="941" spans="8:16" s="15" customFormat="1" x14ac:dyDescent="0.25">
      <c r="H941" s="22"/>
      <c r="K941" s="22"/>
      <c r="L941" s="22"/>
      <c r="P941" s="22"/>
    </row>
    <row r="942" spans="8:16" s="15" customFormat="1" x14ac:dyDescent="0.25">
      <c r="H942" s="22"/>
      <c r="K942" s="22"/>
      <c r="L942" s="22"/>
      <c r="P942" s="22"/>
    </row>
    <row r="943" spans="8:16" s="15" customFormat="1" x14ac:dyDescent="0.25">
      <c r="H943" s="22"/>
      <c r="K943" s="22"/>
      <c r="L943" s="22"/>
      <c r="P943" s="22"/>
    </row>
    <row r="944" spans="8:16" s="15" customFormat="1" x14ac:dyDescent="0.25">
      <c r="H944" s="22"/>
      <c r="K944" s="22"/>
      <c r="L944" s="22"/>
      <c r="P944" s="22"/>
    </row>
    <row r="945" spans="8:16" s="15" customFormat="1" x14ac:dyDescent="0.25">
      <c r="H945" s="22"/>
      <c r="K945" s="22"/>
      <c r="L945" s="22"/>
      <c r="P945" s="22"/>
    </row>
    <row r="946" spans="8:16" s="15" customFormat="1" x14ac:dyDescent="0.25">
      <c r="H946" s="22"/>
      <c r="K946" s="22"/>
      <c r="L946" s="22"/>
      <c r="P946" s="22"/>
    </row>
    <row r="947" spans="8:16" s="15" customFormat="1" x14ac:dyDescent="0.25">
      <c r="H947" s="22"/>
      <c r="K947" s="22"/>
      <c r="L947" s="22"/>
      <c r="P947" s="22"/>
    </row>
    <row r="948" spans="8:16" s="15" customFormat="1" x14ac:dyDescent="0.25">
      <c r="H948" s="22"/>
      <c r="K948" s="22"/>
      <c r="L948" s="22"/>
      <c r="P948" s="22"/>
    </row>
  </sheetData>
  <autoFilter ref="A4:T356" xr:uid="{00000000-0009-0000-0000-000005000000}"/>
  <sortState xmlns:xlrd2="http://schemas.microsoft.com/office/spreadsheetml/2017/richdata2" ref="A4:P360">
    <sortCondition ref="C4:C360"/>
    <sortCondition ref="B4:B360"/>
  </sortState>
  <mergeCells count="17">
    <mergeCell ref="R3:T3"/>
    <mergeCell ref="A1:T1"/>
    <mergeCell ref="A2:A4"/>
    <mergeCell ref="B2:B4"/>
    <mergeCell ref="C2:C4"/>
    <mergeCell ref="D2:D4"/>
    <mergeCell ref="E2:H2"/>
    <mergeCell ref="I2:L2"/>
    <mergeCell ref="M2:P2"/>
    <mergeCell ref="Q2:T2"/>
    <mergeCell ref="E3:E4"/>
    <mergeCell ref="F3:H3"/>
    <mergeCell ref="I3:I4"/>
    <mergeCell ref="J3:L3"/>
    <mergeCell ref="M3:M4"/>
    <mergeCell ref="N3:P3"/>
    <mergeCell ref="Q3:Q4"/>
  </mergeCells>
  <phoneticPr fontId="0" type="noConversion"/>
  <conditionalFormatting sqref="E1:E1048576">
    <cfRule type="containsText" dxfId="3" priority="4" operator="containsText" text="NC">
      <formula>NOT(ISERROR(SEARCH("NC",E1)))</formula>
    </cfRule>
  </conditionalFormatting>
  <conditionalFormatting sqref="I1:I1048576">
    <cfRule type="containsText" dxfId="2" priority="3" operator="containsText" text="NC">
      <formula>NOT(ISERROR(SEARCH("NC",I1)))</formula>
    </cfRule>
  </conditionalFormatting>
  <conditionalFormatting sqref="M1:M1048576">
    <cfRule type="containsText" dxfId="1" priority="2" operator="containsText" text="NC">
      <formula>NOT(ISERROR(SEARCH("NC",M1)))</formula>
    </cfRule>
  </conditionalFormatting>
  <conditionalFormatting sqref="Q1:Q1048576">
    <cfRule type="containsText" dxfId="0" priority="1" operator="containsText" text="NC">
      <formula>NOT(ISERROR(SEARCH("NC",Q1)))</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31</vt:i4>
      </vt:variant>
    </vt:vector>
  </HeadingPairs>
  <TitlesOfParts>
    <vt:vector size="37" baseType="lpstr">
      <vt:lpstr>Tirage</vt:lpstr>
      <vt:lpstr>Match</vt:lpstr>
      <vt:lpstr>Classement impression</vt:lpstr>
      <vt:lpstr>Feuille de résultat</vt:lpstr>
      <vt:lpstr>Engagement tour suivant</vt:lpstr>
      <vt:lpstr>Joueurs</vt:lpstr>
      <vt:lpstr>Categories</vt:lpstr>
      <vt:lpstr>Class_finale</vt:lpstr>
      <vt:lpstr>Classementfinal</vt:lpstr>
      <vt:lpstr>demifinale</vt:lpstr>
      <vt:lpstr>Finale</vt:lpstr>
      <vt:lpstr>joueurs</vt:lpstr>
      <vt:lpstr>Lieu</vt:lpstr>
      <vt:lpstr>Mécanisme_de_jeu</vt:lpstr>
      <vt:lpstr>Mini_bonus</vt:lpstr>
      <vt:lpstr>Mode_de_jeu</vt:lpstr>
      <vt:lpstr>Moyenneintermediaire</vt:lpstr>
      <vt:lpstr>p1_1</vt:lpstr>
      <vt:lpstr>p1_2</vt:lpstr>
      <vt:lpstr>Poule1</vt:lpstr>
      <vt:lpstr>poule2</vt:lpstr>
      <vt:lpstr>poule3</vt:lpstr>
      <vt:lpstr>poule4</vt:lpstr>
      <vt:lpstr>poule5</vt:lpstr>
      <vt:lpstr>Poule6</vt:lpstr>
      <vt:lpstr>Quota</vt:lpstr>
      <vt:lpstr>quotareduit</vt:lpstr>
      <vt:lpstr>Scenario1</vt:lpstr>
      <vt:lpstr>scenario2</vt:lpstr>
      <vt:lpstr>Stade_epreuve</vt:lpstr>
      <vt:lpstr>Tb_Moyenneintermediaire</vt:lpstr>
      <vt:lpstr>TourDeJeu</vt:lpstr>
      <vt:lpstr>TourDeJeu2</vt:lpstr>
      <vt:lpstr>'Classement impression'!Zone_d_impression</vt:lpstr>
      <vt:lpstr>'Engagement tour suivant'!Zone_d_impression</vt:lpstr>
      <vt:lpstr>'Feuille de résultat'!Zone_d_impression</vt:lpstr>
      <vt:lpstr>Match!Zone_d_impression</vt:lpstr>
    </vt:vector>
  </TitlesOfParts>
  <Company>COB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COB</dc:creator>
  <cp:lastModifiedBy>Fabien LAROCHE</cp:lastModifiedBy>
  <cp:revision/>
  <cp:lastPrinted>2024-11-16T17:16:46Z</cp:lastPrinted>
  <dcterms:created xsi:type="dcterms:W3CDTF">2009-10-27T13:11:27Z</dcterms:created>
  <dcterms:modified xsi:type="dcterms:W3CDTF">2024-11-16T21:42:11Z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209453224</vt:i4>
  </property>
  <property fmtid="{D5CDD505-2E9C-101B-9397-08002B2CF9AE}" pid="3" name="_EmailSubject">
    <vt:lpwstr>Classeur1.xls</vt:lpwstr>
  </property>
  <property fmtid="{D5CDD505-2E9C-101B-9397-08002B2CF9AE}" pid="4" name="_AuthorEmail">
    <vt:lpwstr>joel.alexanian@ratp.fr</vt:lpwstr>
  </property>
  <property fmtid="{D5CDD505-2E9C-101B-9397-08002B2CF9AE}" pid="5" name="_AuthorEmailDisplayName">
    <vt:lpwstr>ALEXANIAN Joel</vt:lpwstr>
  </property>
  <property fmtid="{D5CDD505-2E9C-101B-9397-08002B2CF9AE}" pid="6" name="_ReviewingToolsShownOnce">
    <vt:lpwstr/>
  </property>
</Properties>
</file>